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9075" windowHeight="10635" tabRatio="829" activeTab="1"/>
  </bookViews>
  <sheets>
    <sheet name="Revised Math Edits" sheetId="1" r:id="rId1"/>
    <sheet name="Schedule_A" sheetId="2" r:id="rId2"/>
    <sheet name="Schedule_B" sheetId="3" r:id="rId3"/>
    <sheet name="Schedule_F" sheetId="4" r:id="rId4"/>
    <sheet name="Schedule_G" sheetId="5" r:id="rId5"/>
    <sheet name="Schedule_G-1" sheetId="6" r:id="rId6"/>
    <sheet name="wksOPT" sheetId="7" state="hidden" r:id="rId7"/>
    <sheet name="Schedule_G-2_HO" sheetId="8" r:id="rId8"/>
    <sheet name="Schedule_G-2" sheetId="9" r:id="rId9"/>
    <sheet name="Schedule_G-5" sheetId="10" r:id="rId10"/>
    <sheet name="Schedule_G-7" sheetId="11" r:id="rId11"/>
    <sheet name="Schedule_G-8" sheetId="12" r:id="rId12"/>
    <sheet name="Schedule_L" sheetId="13" r:id="rId13"/>
    <sheet name="Schedule_M" sheetId="14" r:id="rId14"/>
    <sheet name="Schedule_N" sheetId="15" r:id="rId15"/>
    <sheet name="Schedule_O " sheetId="16" r:id="rId16"/>
    <sheet name="Schedule P" sheetId="17" r:id="rId17"/>
    <sheet name="Schedule Q" sheetId="18" r:id="rId18"/>
    <sheet name="Supp Schedule_O-1" sheetId="19" r:id="rId19"/>
  </sheets>
  <definedNames>
    <definedName name="_C000026">'Schedule_A'!$C$39</definedName>
    <definedName name="_C000027">'Schedule_A'!$H$39</definedName>
    <definedName name="_C000325">'Schedule_N'!$D$8</definedName>
    <definedName name="_C000326">'Schedule_N'!$D$9</definedName>
    <definedName name="_C000327">'Schedule_N'!$D$10</definedName>
    <definedName name="_C000328">'Schedule_N'!$D$11</definedName>
    <definedName name="_C000329">'Schedule_N'!$D$12</definedName>
    <definedName name="_C000330">'Schedule_N'!$D$13</definedName>
    <definedName name="_C000331">'Schedule_N'!$D$14</definedName>
    <definedName name="_C000332">'Schedule_N'!$D$15</definedName>
    <definedName name="_C000333">'Schedule_N'!$D$16</definedName>
    <definedName name="_C000334">'Schedule_N'!$D$17</definedName>
    <definedName name="_C000335">'Schedule_N'!$D$18</definedName>
    <definedName name="_C000336">'Schedule_N'!$D$19</definedName>
    <definedName name="_C000337">'Schedule_N'!$D$20</definedName>
    <definedName name="_C000339">'Schedule_N'!$K$22</definedName>
    <definedName name="_C000340">'Schedule_N'!$K$24</definedName>
    <definedName name="_C000343">'Schedule_N'!$K$27</definedName>
    <definedName name="_C000379">'Schedule_N'!$E$8</definedName>
    <definedName name="_C000380">'Schedule_N'!$E$9</definedName>
    <definedName name="_C000381">'Schedule_N'!$E$10</definedName>
    <definedName name="_C000382">'Schedule_N'!$E$11</definedName>
    <definedName name="_C000383">'Schedule_N'!$E$12</definedName>
    <definedName name="_C000384">'Schedule_N'!$E$13</definedName>
    <definedName name="_C000385">'Schedule_N'!$E$14</definedName>
    <definedName name="_C000386">'Schedule_N'!$E$15</definedName>
    <definedName name="_C000387">'Schedule_N'!$E$16</definedName>
    <definedName name="_C000388">'Schedule_N'!$E$17</definedName>
    <definedName name="_C000389">'Schedule_N'!$E$18</definedName>
    <definedName name="_C000390">'Schedule_N'!$E$19</definedName>
    <definedName name="_C000391">'Schedule_N'!$E$20</definedName>
    <definedName name="_C000392">'Schedule_N'!$G$8</definedName>
    <definedName name="_C000393">'Schedule_N'!$G$9</definedName>
    <definedName name="_C000394">'Schedule_N'!$G$10</definedName>
    <definedName name="_C000395">'Schedule_N'!$G$11</definedName>
    <definedName name="_C000396">'Schedule_N'!$G$12</definedName>
    <definedName name="_C000397">'Schedule_N'!$G$13</definedName>
    <definedName name="_C000398">'Schedule_N'!$G$14</definedName>
    <definedName name="_C000399">'Schedule_N'!$G$15</definedName>
    <definedName name="_C000400">'Schedule_N'!$G$16</definedName>
    <definedName name="_C000401">'Schedule_N'!$G$17</definedName>
    <definedName name="_C000402">'Schedule_N'!$G$18</definedName>
    <definedName name="_C000403">'Schedule_N'!$G$19</definedName>
    <definedName name="_C000404">'Schedule_N'!$G$20</definedName>
    <definedName name="_C000405">'Schedule_N'!$H$8</definedName>
    <definedName name="_C000406">'Schedule_N'!$H$9</definedName>
    <definedName name="_C000407">'Schedule_N'!$H$10</definedName>
    <definedName name="_C000408">'Schedule_N'!$H$11</definedName>
    <definedName name="_C000409">'Schedule_N'!$H$12</definedName>
    <definedName name="_C000410">'Schedule_N'!$H$13</definedName>
    <definedName name="_C000411">'Schedule_N'!$H$14</definedName>
    <definedName name="_C000412">'Schedule_N'!$H$15</definedName>
    <definedName name="_C000413">'Schedule_N'!$H$16</definedName>
    <definedName name="_C000414">'Schedule_N'!$H$17</definedName>
    <definedName name="_C000415">'Schedule_N'!$H$18</definedName>
    <definedName name="_C000416">'Schedule_N'!$H$19</definedName>
    <definedName name="_C000417">'Schedule_N'!$H$20</definedName>
    <definedName name="_C000418">'Schedule_N'!$I$8</definedName>
    <definedName name="_C000419">'Schedule_N'!$I$9</definedName>
    <definedName name="_C000420">'Schedule_N'!$I$10</definedName>
    <definedName name="_C000421">'Schedule_N'!$I$11</definedName>
    <definedName name="_C000422">'Schedule_N'!$I$12</definedName>
    <definedName name="_C000423">'Schedule_N'!$I$13</definedName>
    <definedName name="_C000424">'Schedule_N'!$I$14</definedName>
    <definedName name="_C000425">'Schedule_N'!$I$15</definedName>
    <definedName name="_C000426">'Schedule_N'!$I$16</definedName>
    <definedName name="_C000427">'Schedule_N'!$I$17</definedName>
    <definedName name="_C000428">'Schedule_N'!$I$18</definedName>
    <definedName name="_C000429">'Schedule_N'!$I$19</definedName>
    <definedName name="_C000430">'Schedule_N'!$I$20</definedName>
    <definedName name="_C000431">'Schedule_N'!$K$8</definedName>
    <definedName name="_C000432">'Schedule_N'!$K$9</definedName>
    <definedName name="_C000433">'Schedule_N'!$K$10</definedName>
    <definedName name="_C000434">'Schedule_N'!$K$11</definedName>
    <definedName name="_C000435">'Schedule_N'!$K$12</definedName>
    <definedName name="_C000436">'Schedule_N'!$K$13</definedName>
    <definedName name="_C000437">'Schedule_N'!$K$14</definedName>
    <definedName name="_C000438">'Schedule_N'!$K$15</definedName>
    <definedName name="_C000439">'Schedule_N'!$K$16</definedName>
    <definedName name="_C000440">'Schedule_N'!$K$17</definedName>
    <definedName name="_C000441">'Schedule_N'!$K$18</definedName>
    <definedName name="_C000442">'Schedule_N'!$K$19</definedName>
    <definedName name="_C000443">'Schedule_N'!$E$22</definedName>
    <definedName name="_C000445">'Schedule_N'!$E$24</definedName>
    <definedName name="_C000446">'Schedule_N'!$E$26</definedName>
    <definedName name="_C000447">'Schedule_O '!$D$9</definedName>
    <definedName name="_C000448">'Schedule_O '!$E$9</definedName>
    <definedName name="_C000449">'Schedule_O '!$F$9</definedName>
    <definedName name="_C000467">'Schedule_O '!$D$11</definedName>
    <definedName name="_C000468">'Schedule_O '!$E$11</definedName>
    <definedName name="_C000469">'Schedule_O '!$F$11</definedName>
    <definedName name="_C000472">'Schedule_O '!$D$15</definedName>
    <definedName name="_C000473">'Schedule_O '!$E$15</definedName>
    <definedName name="_C000474">'Schedule_O '!$F$15</definedName>
    <definedName name="_C000475">'Schedule_O '!$G$15</definedName>
    <definedName name="_C000476">'Schedule_O '!$H$15</definedName>
    <definedName name="_C000478">'Schedule_O '!$D$16</definedName>
    <definedName name="_C000479">'Schedule_O '!$E$16</definedName>
    <definedName name="_C000480">'Schedule_O '!$F$16</definedName>
    <definedName name="_C000481">'Schedule_O '!$G$16</definedName>
    <definedName name="_C000482">'Schedule_O '!$H$16</definedName>
    <definedName name="_C000490">'Schedule_O '!$D$18</definedName>
    <definedName name="_C000491">'Schedule_O '!$E$18</definedName>
    <definedName name="_C000492">'Schedule_O '!$F$18</definedName>
    <definedName name="_C000493">'Schedule_O '!$G$18</definedName>
    <definedName name="_C000494">'Schedule_O '!$H$18</definedName>
    <definedName name="_C000501">'Schedule_O '!$D$10</definedName>
    <definedName name="_C000502">'Schedule_O '!$E$10</definedName>
    <definedName name="_C000503">'Schedule_O '!$F$10</definedName>
    <definedName name="_C000504">'Schedule_O '!$D$17</definedName>
    <definedName name="_C000505">'Schedule_O '!$E$17</definedName>
    <definedName name="_C000506">'Schedule_O '!$F$17</definedName>
    <definedName name="_C000507">'Schedule_O '!$G$17</definedName>
    <definedName name="_C000508">'Schedule_O '!$D$26</definedName>
    <definedName name="_C000509">'Schedule_O '!$E$26</definedName>
    <definedName name="_C000510">'Schedule_O '!$F$26</definedName>
    <definedName name="_C000511">'Schedule_O '!$G$26</definedName>
    <definedName name="_C000512">'Schedule_O '!$H$26</definedName>
    <definedName name="_C000513">'Schedule_O '!$H$17</definedName>
    <definedName name="_C000514">'Schedule_O '!$D$27</definedName>
    <definedName name="_C000515">'Schedule_O '!$E$27</definedName>
    <definedName name="_C000516">'Schedule_O '!$F$27</definedName>
    <definedName name="_C000517">'Schedule_O '!$G$27</definedName>
    <definedName name="_C000518">'Schedule_O '!$H$27</definedName>
    <definedName name="_C000519">'Schedule_O '!$I$27</definedName>
    <definedName name="_C000520">'Schedule_O '!$D$30</definedName>
    <definedName name="_C000521">'Schedule_O '!$E$30</definedName>
    <definedName name="_C000522">'Schedule_O '!$F$30</definedName>
    <definedName name="_C000523">'Schedule_O '!$G$30</definedName>
    <definedName name="_C000524">'Schedule_O '!$H$30</definedName>
    <definedName name="_C000525">'Schedule_O '!$J$27</definedName>
    <definedName name="_C000526">'Schedule_O '!$L$30</definedName>
    <definedName name="_C000527">'Schedule_O '!$M$30</definedName>
    <definedName name="_C000528">'Schedule_O '!$N$30</definedName>
    <definedName name="_C000534">'Schedule_O '!$K$27</definedName>
    <definedName name="_C000538">'Schedule_O '!$D$32</definedName>
    <definedName name="_C000539">'Schedule_O '!$E$32</definedName>
    <definedName name="_C000540">'Schedule_O '!$F$32</definedName>
    <definedName name="_C000541">'Schedule_O '!$G$32</definedName>
    <definedName name="_C000542">'Schedule_O '!$H$32</definedName>
    <definedName name="_C000544">'Schedule_O '!$L$32</definedName>
    <definedName name="_C000545">'Schedule_O '!$M$32</definedName>
    <definedName name="_C000546">'Schedule_O '!$N$32</definedName>
    <definedName name="_C000565">'Schedule_O '!$D$40</definedName>
    <definedName name="_C000566">'Schedule_O '!$E$40</definedName>
    <definedName name="_C000567">'Schedule_O '!$F$40</definedName>
    <definedName name="_C000568">'Schedule_O '!$G$40</definedName>
    <definedName name="_C000569">'Schedule_O '!$H$40</definedName>
    <definedName name="_C000571">'Schedule_O '!$L$40</definedName>
    <definedName name="_C000572">'Schedule_O '!$M$40</definedName>
    <definedName name="_C000573">'Schedule_O '!$N$40</definedName>
    <definedName name="_C000574">'Schedule_O '!$D$50</definedName>
    <definedName name="_C000575">'Schedule_O '!$E$50</definedName>
    <definedName name="_C000576">'Schedule_O '!$F$50</definedName>
    <definedName name="_C000579">'Schedule_O '!$G$50</definedName>
    <definedName name="_C000586">'Schedule_O '!$D$52</definedName>
    <definedName name="_C000588">'Schedule_O '!$F$52</definedName>
    <definedName name="_C000591">'Schedule_O '!$G$52</definedName>
    <definedName name="_C000604">'Schedule_O '!$D$59</definedName>
    <definedName name="_C000605">'Schedule_O '!$E$59</definedName>
    <definedName name="_C000606">'Schedule_O '!$F$59</definedName>
    <definedName name="_C000609">'Schedule_O '!$G$59</definedName>
    <definedName name="_C000610">'Schedule_O '!$I$65</definedName>
    <definedName name="_C000611">'Schedule_O '!$I$66</definedName>
    <definedName name="_C000612">'Schedule_O '!$I$67</definedName>
    <definedName name="_C000613">'Schedule_O '!$I$68</definedName>
    <definedName name="_C000614">'Schedule_O '!$I$69</definedName>
    <definedName name="_C000615">'Schedule_O '!$I$70</definedName>
    <definedName name="_C000616">'Schedule_O '!$I$71</definedName>
    <definedName name="_C000617">'Schedule_O '!$I$72</definedName>
    <definedName name="_C000623">'Schedule_G-8'!$D$13</definedName>
    <definedName name="_C000625">'Schedule_O '!$I$73</definedName>
    <definedName name="_C000626">'Schedule_O '!$I$74</definedName>
    <definedName name="_C000628">'Schedule_M'!$D$8</definedName>
    <definedName name="_C000629">'Schedule_M'!$G$8</definedName>
    <definedName name="_C000631">'Schedule_M'!$D$9</definedName>
    <definedName name="_C000632">'Schedule_M'!$G$9</definedName>
    <definedName name="_C000634">'Schedule_M'!$D$10</definedName>
    <definedName name="_C000635">'Schedule_M'!$G$10</definedName>
    <definedName name="_C000637">'Schedule_M'!$D$11</definedName>
    <definedName name="_C000638">'Schedule_M'!$G$11</definedName>
    <definedName name="_C000640">'Schedule_M'!$D$12</definedName>
    <definedName name="_C000641">'Schedule_M'!$G$12</definedName>
    <definedName name="_C000643">'Schedule_M'!$D$13</definedName>
    <definedName name="_C000644">'Schedule_M'!$G$13</definedName>
    <definedName name="_C000646">'Schedule_M'!$D$14</definedName>
    <definedName name="_C000647">'Schedule_M'!$G$14</definedName>
    <definedName name="_C000649">'Schedule_M'!$D$15</definedName>
    <definedName name="_C000650">'Schedule_M'!$G$15</definedName>
    <definedName name="_C000652">'Schedule_M'!$D$16</definedName>
    <definedName name="_C000653">'Schedule_M'!$G$16</definedName>
    <definedName name="_C000655">'Schedule_M'!$D$17</definedName>
    <definedName name="_C000656">'Schedule_M'!$G$17</definedName>
    <definedName name="_C000658">'Schedule_M'!$D$18</definedName>
    <definedName name="_C000659">'Schedule_M'!$G$18</definedName>
    <definedName name="_C000661">'Schedule_M'!$D$19</definedName>
    <definedName name="_C000662">'Schedule_M'!$G$19</definedName>
    <definedName name="_C000665">'Schedule_M'!$G$20</definedName>
    <definedName name="_C000673">'Schedule_M'!$D$21</definedName>
    <definedName name="_C000674">'Schedule_M'!$G$21</definedName>
    <definedName name="_C000676">'Schedule_G'!$J$62</definedName>
    <definedName name="_C000678">'Schedule_G'!$J$81</definedName>
    <definedName name="_C000680">'Schedule_G'!$J$107</definedName>
    <definedName name="_C000684">'Schedule_G'!$J$63</definedName>
    <definedName name="_C000686">'Schedule_G'!$J$82</definedName>
    <definedName name="_C000688">'Schedule_G'!$J$108</definedName>
    <definedName name="_C000692">'Schedule_G'!$J$64</definedName>
    <definedName name="_C000694">'Schedule_G'!$J$83</definedName>
    <definedName name="_C000696">'Schedule_G'!$J$109</definedName>
    <definedName name="_C000700">'Schedule_G'!$J$65</definedName>
    <definedName name="_C000702">'Schedule_G'!$J$84</definedName>
    <definedName name="_C000704">'Schedule_G'!$J$110</definedName>
    <definedName name="_C000708">'Schedule_G'!$J$314</definedName>
    <definedName name="_C000716">'Schedule_G'!$J$298</definedName>
    <definedName name="_C000724">'Schedule_G'!$J$306</definedName>
    <definedName name="_C000732">'Schedule_G'!$J$322</definedName>
    <definedName name="_C000733">'Schedule_G'!$J$330</definedName>
    <definedName name="_C000740">'Schedule_G'!$J$69</definedName>
    <definedName name="_C000742">'Schedule_G'!$J$88</definedName>
    <definedName name="_C000744">'Schedule_G'!$J$114</definedName>
    <definedName name="_C000756">'Schedule_G'!$J$70</definedName>
    <definedName name="_C000760">'Schedule_G'!$J$115</definedName>
    <definedName name="_C000764">'Schedule_G'!$J$71</definedName>
    <definedName name="_C000768">'Schedule_G'!$J$116</definedName>
    <definedName name="_C000772">'Schedule_G'!$J$72</definedName>
    <definedName name="_C000774">'Schedule_G'!$J$91</definedName>
    <definedName name="_C000776">'Schedule_G'!$J$117</definedName>
    <definedName name="_C000780">'Schedule_G'!$J$73</definedName>
    <definedName name="_C000782">'Schedule_G'!$J$92</definedName>
    <definedName name="_C000784">'Schedule_G'!$J$118</definedName>
    <definedName name="_C000812">'Schedule_G'!$J$76</definedName>
    <definedName name="_C000814">'Schedule_G'!$J$105</definedName>
    <definedName name="_C000816">'Schedule_G'!$J$121</definedName>
    <definedName name="_C000820">'Schedule_G'!$J$159</definedName>
    <definedName name="_C000826">'Schedule_G'!$J$160</definedName>
    <definedName name="_C000832">'Schedule_G'!$J$161</definedName>
    <definedName name="_C000838">'Schedule_G'!$J$162</definedName>
    <definedName name="_C000850">'Schedule_G'!$J$163</definedName>
    <definedName name="_C000856">'Schedule_G'!$J$164</definedName>
    <definedName name="_C000862">'Schedule_G'!$J$165</definedName>
    <definedName name="_C000868">'Schedule_G'!$J$166</definedName>
    <definedName name="_C000872">'Schedule_G'!$J$223</definedName>
    <definedName name="_C000874">'Schedule_G'!$J$236</definedName>
    <definedName name="_C000880">'Schedule_G'!$J$129</definedName>
    <definedName name="_C000886">'Schedule_G'!$J$245</definedName>
    <definedName name="_C000892">'Schedule_G'!$J$138</definedName>
    <definedName name="_C000904">'Schedule_G'!$J$265</definedName>
    <definedName name="_C000927">'Schedule_B'!$G$40</definedName>
    <definedName name="_C000928">'Schedule_B'!$G$41</definedName>
    <definedName name="_C000929">'Schedule_B'!$G$42</definedName>
    <definedName name="_C000930">'Schedule_B'!$G$43</definedName>
    <definedName name="_C000931">'Schedule_B'!$G$44</definedName>
    <definedName name="_C000932">'Schedule_B'!$G$45</definedName>
    <definedName name="_C000933">'Schedule_B'!$G$46</definedName>
    <definedName name="_C000934">'Schedule_B'!$G$50</definedName>
    <definedName name="_C000935">'Schedule_B'!$G$47</definedName>
    <definedName name="_C000936">'Schedule_B'!$G$48</definedName>
    <definedName name="_C000937">'Schedule_B'!$H$40</definedName>
    <definedName name="_C000938">'Schedule_B'!$H$41</definedName>
    <definedName name="_C000939">'Schedule_B'!$H$42</definedName>
    <definedName name="_C000940">'Schedule_B'!$H$43</definedName>
    <definedName name="_C000941">'Schedule_B'!$H$44</definedName>
    <definedName name="_C000942">'Schedule_B'!$H$45</definedName>
    <definedName name="_C000943">'Schedule_B'!$H$46</definedName>
    <definedName name="_C000944">'Schedule_B'!$H$50</definedName>
    <definedName name="_C000945">'Schedule_B'!$H$47</definedName>
    <definedName name="_C000946">'Schedule_B'!$H$48</definedName>
    <definedName name="_C000947">'Schedule_B'!$I$40</definedName>
    <definedName name="_C000948">'Schedule_B'!$I$41</definedName>
    <definedName name="_C000949">'Schedule_B'!$I$42</definedName>
    <definedName name="_C000950">'Schedule_B'!$I$43</definedName>
    <definedName name="_C000951">'Schedule_B'!$I$44</definedName>
    <definedName name="_C000952">'Schedule_B'!$I$45</definedName>
    <definedName name="_C000953">'Schedule_B'!$I$46</definedName>
    <definedName name="_C000954">'Schedule_B'!$I$50</definedName>
    <definedName name="_C000955">'Schedule_B'!$I$47</definedName>
    <definedName name="_C000956">'Schedule_B'!$I$48</definedName>
    <definedName name="_C000957">'Schedule_B'!$G$29</definedName>
    <definedName name="_C000958">'Schedule_B'!$G$30</definedName>
    <definedName name="_C000959">'Schedule_B'!$G$31</definedName>
    <definedName name="_C000960">'Schedule_B'!$G$32</definedName>
    <definedName name="_C000961">'Schedule_B'!$G$33</definedName>
    <definedName name="_C000962">'Schedule_B'!$G$34</definedName>
    <definedName name="_C000963">'Schedule_B'!$G$35</definedName>
    <definedName name="_C000964">'Schedule_B'!$G$36</definedName>
    <definedName name="_C000966">'Schedule_B'!$G$37</definedName>
    <definedName name="_C000967">'Schedule_B'!$G$38</definedName>
    <definedName name="_C000968">'Schedule_B'!$H$29</definedName>
    <definedName name="_C000969">'Schedule_B'!$H$30</definedName>
    <definedName name="_C000970">'Schedule_B'!$H$31</definedName>
    <definedName name="_C000971">'Schedule_B'!$H$32</definedName>
    <definedName name="_C000972">'Schedule_B'!$H$33</definedName>
    <definedName name="_C000973">'Schedule_B'!$H$34</definedName>
    <definedName name="_C000974">'Schedule_B'!$H$35</definedName>
    <definedName name="_C000975">'Schedule_B'!$H$36</definedName>
    <definedName name="_C000977">'Schedule_B'!$H$37</definedName>
    <definedName name="_C000978">'Schedule_B'!$H$38</definedName>
    <definedName name="_C000990">'Schedule_B'!$I$29</definedName>
    <definedName name="_C000991">'Schedule_B'!$I$30</definedName>
    <definedName name="_C000992">'Schedule_B'!$I$31</definedName>
    <definedName name="_C000993">'Schedule_B'!$I$32</definedName>
    <definedName name="_C000994">'Schedule_B'!$I$33</definedName>
    <definedName name="_C000995">'Schedule_B'!$I$34</definedName>
    <definedName name="_C000996">'Schedule_B'!$I$35</definedName>
    <definedName name="_C000997">'Schedule_B'!$I$36</definedName>
    <definedName name="_C000998">'Schedule_B'!$I$37</definedName>
    <definedName name="_C000999">'Schedule_G'!$J$147</definedName>
    <definedName name="_C001010">'Schedule_M'!$E$8</definedName>
    <definedName name="_C001011">'Schedule_M'!$E$9</definedName>
    <definedName name="_C001012">'Schedule_M'!$E$10</definedName>
    <definedName name="_C001013">'Schedule_M'!$E$11</definedName>
    <definedName name="_C001014">'Schedule_M'!$E$12</definedName>
    <definedName name="_C001015">'Schedule_M'!$E$13</definedName>
    <definedName name="_C001016">'Schedule_M'!$E$14</definedName>
    <definedName name="_C001017">'Schedule_M'!$E$15</definedName>
    <definedName name="_C001018">'Schedule_M'!$E$16</definedName>
    <definedName name="_C001019">'Schedule_M'!$E$17</definedName>
    <definedName name="_C001020">'Schedule_M'!$E$18</definedName>
    <definedName name="_C001021">'Schedule_M'!$E$19</definedName>
    <definedName name="_C001022">'Schedule_M'!$E$21</definedName>
    <definedName name="_C001023">'Schedule_M'!$F$8</definedName>
    <definedName name="_C001024">'Schedule_M'!$F$9</definedName>
    <definedName name="_C001025">'Schedule_M'!$F$10</definedName>
    <definedName name="_C001026">'Schedule_M'!$F$11</definedName>
    <definedName name="_C001027">'Schedule_M'!$F$12</definedName>
    <definedName name="_C001028">'Schedule_M'!$F$13</definedName>
    <definedName name="_C001029">'Schedule_M'!$F$14</definedName>
    <definedName name="_C001030">'Schedule_M'!$F$15</definedName>
    <definedName name="_C001031">'Schedule_M'!$F$16</definedName>
    <definedName name="_C001032">'Schedule_M'!$F$17</definedName>
    <definedName name="_C001033">'Schedule_M'!$F$18</definedName>
    <definedName name="_C001034">'Schedule_M'!$F$19</definedName>
    <definedName name="_C001035">'Schedule_M'!$F$21</definedName>
    <definedName name="_C001036">'Schedule_M'!$H$8</definedName>
    <definedName name="_C001037">'Schedule_M'!$H$9</definedName>
    <definedName name="_C001038">'Schedule_M'!$H$10</definedName>
    <definedName name="_C001039">'Schedule_M'!$H$11</definedName>
    <definedName name="_C001040">'Schedule_M'!$H$12</definedName>
    <definedName name="_C001041">'Schedule_M'!$H$13</definedName>
    <definedName name="_C001042">'Schedule_M'!$H$14</definedName>
    <definedName name="_C001043">'Schedule_M'!$H$15</definedName>
    <definedName name="_C001044">'Schedule_M'!$H$16</definedName>
    <definedName name="_C001045">'Schedule_M'!$H$17</definedName>
    <definedName name="_C001046">'Schedule_M'!$H$18</definedName>
    <definedName name="_C001047">'Schedule_M'!$H$19</definedName>
    <definedName name="_C001048">'Schedule_M'!$H$21</definedName>
    <definedName name="_C001049">'Schedule_M'!$I$8</definedName>
    <definedName name="_C001050">'Schedule_M'!$I$9</definedName>
    <definedName name="_C001051">'Schedule_M'!$I$10</definedName>
    <definedName name="_C001052">'Schedule_M'!$I$11</definedName>
    <definedName name="_C001053">'Schedule_M'!$I$12</definedName>
    <definedName name="_C001054">'Schedule_M'!$I$13</definedName>
    <definedName name="_C001055">'Schedule_M'!$I$14</definedName>
    <definedName name="_C001056">'Schedule_M'!$I$15</definedName>
    <definedName name="_C001057">'Schedule_M'!$I$16</definedName>
    <definedName name="_C001058">'Schedule_M'!$I$17</definedName>
    <definedName name="_C001059">'Schedule_M'!$I$18</definedName>
    <definedName name="_C001060">'Schedule_M'!$I$19</definedName>
    <definedName name="_C001061">'Schedule_M'!$I$21</definedName>
    <definedName name="_C001062">'Schedule_B'!$F$29</definedName>
    <definedName name="_C001063">'Schedule_B'!$F$30</definedName>
    <definedName name="_C001064">'Schedule_B'!$F$31</definedName>
    <definedName name="_C001065">'Schedule_B'!$F$32</definedName>
    <definedName name="_C001066">'Schedule_B'!$F$33</definedName>
    <definedName name="_C001067">'Schedule_B'!$F$34</definedName>
    <definedName name="_C001068">'Schedule_B'!$F$35</definedName>
    <definedName name="_C001069">'Schedule_B'!$F$36</definedName>
    <definedName name="_C001070">'Schedule_B'!$F$37</definedName>
    <definedName name="_C001071">'Schedule_B'!$F$38</definedName>
    <definedName name="_C001093">'Schedule_B'!$F$40</definedName>
    <definedName name="_C001094">'Schedule_B'!$F$41</definedName>
    <definedName name="_C001095">'Schedule_B'!$F$42</definedName>
    <definedName name="_C001096">'Schedule_B'!$F$43</definedName>
    <definedName name="_C001097">'Schedule_B'!$F$44</definedName>
    <definedName name="_C001098">'Schedule_B'!$F$45</definedName>
    <definedName name="_C001099">'Schedule_B'!$F$46</definedName>
    <definedName name="_C001100">'Schedule_B'!$F$47</definedName>
    <definedName name="_C001101">'Schedule_B'!$F$48</definedName>
    <definedName name="_C001102">'Schedule_B'!$F$50</definedName>
    <definedName name="_C001110">'Schedule_B'!$J$15</definedName>
    <definedName name="_C001120">'Schedule_B'!$J$16</definedName>
    <definedName name="_C001130">'Schedule_B'!$J$17</definedName>
    <definedName name="_C001140">'Schedule_B'!$J$18</definedName>
    <definedName name="_C001150">'Schedule_B'!$J$19</definedName>
    <definedName name="_C001160">'Schedule_B'!$J$20</definedName>
    <definedName name="_C001170">'Schedule_B'!$J$21</definedName>
    <definedName name="_C001180">'Schedule_B'!$J$22</definedName>
    <definedName name="_C001190">'Schedule_B'!$J$23</definedName>
    <definedName name="_C001220">'Schedule_B'!$J$25</definedName>
    <definedName name="_C001230">'Schedule_B'!$J$26</definedName>
    <definedName name="_C001400">'Schedule_B'!$J$29</definedName>
    <definedName name="_C001401">'Schedule_B'!$J$30</definedName>
    <definedName name="_C001402">'Schedule_B'!$J$31</definedName>
    <definedName name="_C001403">'Schedule_B'!$J$32</definedName>
    <definedName name="_C001404">'Schedule_B'!$J$33</definedName>
    <definedName name="_C001405">'Schedule_B'!$J$34</definedName>
    <definedName name="_C001406">'Schedule_B'!$J$35</definedName>
    <definedName name="_C001407">'Schedule_B'!$J$36</definedName>
    <definedName name="_C001408">'Schedule_B'!$J$37</definedName>
    <definedName name="_C001409">'Schedule_B'!$J$38</definedName>
    <definedName name="_C001470">'Schedule_B'!$J$64</definedName>
    <definedName name="_C001480">'Schedule_B'!$J$65</definedName>
    <definedName name="_C001565">'Schedule_G'!$J$75</definedName>
    <definedName name="_C001567">'Schedule_G'!$J$104</definedName>
    <definedName name="_C001569">'Schedule_G'!$J$120</definedName>
    <definedName name="_C001580">'Schedule_G'!$J$338</definedName>
    <definedName name="_C001584">'Schedule_G'!$J$345</definedName>
    <definedName name="_C001601">'Schedule_B'!$J$40</definedName>
    <definedName name="_C001602">'Schedule_B'!$J$41</definedName>
    <definedName name="_C001603">'Schedule_B'!$J$42</definedName>
    <definedName name="_C001604">'Schedule_B'!$J$43</definedName>
    <definedName name="_C001605">'Schedule_B'!$J$44</definedName>
    <definedName name="_C001606">'Schedule_B'!$J$45</definedName>
    <definedName name="_C001607">'Schedule_B'!$J$46</definedName>
    <definedName name="_C001608">'Schedule_B'!$J$47</definedName>
    <definedName name="_C001609">'Schedule_B'!$J$48</definedName>
    <definedName name="_C001680">'Schedule_B'!$J$66</definedName>
    <definedName name="_C001810">'Schedule_B'!$J$70</definedName>
    <definedName name="_C001820">'Schedule_B'!$J$71</definedName>
    <definedName name="_C001830">'Schedule_B'!$J$72</definedName>
    <definedName name="_C001840">'Schedule_B'!$J$73</definedName>
    <definedName name="_C001850">'Schedule_B'!$J$74</definedName>
    <definedName name="_C001860">'Schedule_B'!$J$75</definedName>
    <definedName name="_C001900">'Schedule_O '!$D$31</definedName>
    <definedName name="_C001901">'Schedule_O '!$E$31</definedName>
    <definedName name="_C001902">'Schedule_O '!$F$31</definedName>
    <definedName name="_C001903">'Schedule_O '!$G$31</definedName>
    <definedName name="_C001904">'Schedule_O '!$H$31</definedName>
    <definedName name="_C001905">'Schedule_O '!$L$31</definedName>
    <definedName name="_C001906">'Schedule_O '!$M$31</definedName>
    <definedName name="_C001907">'Schedule_O '!$N$31</definedName>
    <definedName name="_C001914">'Schedule_O '!$D$51</definedName>
    <definedName name="_C001916">'Schedule_O '!$F$51</definedName>
    <definedName name="_C001919">'Schedule_O '!$G$51</definedName>
    <definedName name="_C002110">'Schedule_B'!$J$94</definedName>
    <definedName name="_C002120">'Schedule_B'!$J$95</definedName>
    <definedName name="_C002130">'Schedule_B'!$J$96</definedName>
    <definedName name="_C002140">'Schedule_B'!$J$97</definedName>
    <definedName name="_C002150">'Schedule_B'!$J$98</definedName>
    <definedName name="_C002160">'Schedule_B'!$J$99</definedName>
    <definedName name="_C002180">'Schedule_B'!$J$101</definedName>
    <definedName name="_C002190">'Schedule_B'!$J$102</definedName>
    <definedName name="_C002510">'Schedule_B'!$J$106</definedName>
    <definedName name="_C002520">'Schedule_B'!$J$107</definedName>
    <definedName name="_C002530">'Schedule_B'!$J$108</definedName>
    <definedName name="_C002540">'Schedule_B'!$J$109</definedName>
    <definedName name="_C002550">'Schedule_B'!$J$110</definedName>
    <definedName name="_C002560">'Schedule_B'!$J$111</definedName>
    <definedName name="_C002570">'Schedule_B'!$J$112</definedName>
    <definedName name="_C003100">'Schedule_B'!$J$123</definedName>
    <definedName name="_C003110">'Schedule_B'!$J$117</definedName>
    <definedName name="_C003120">'Schedule_B'!$J$118</definedName>
    <definedName name="_C003130">'Schedule_B'!$J$119</definedName>
    <definedName name="_C003200">'Schedule_B'!$J$120</definedName>
    <definedName name="_C003300">'Schedule_B'!$J$124</definedName>
    <definedName name="_C003400">'Schedule_B'!$J$125</definedName>
    <definedName name="_C004000">'Schedule_G'!$I$435</definedName>
    <definedName name="_C004110">'Schedule_G'!$I$10</definedName>
    <definedName name="_C004120">'Schedule_G'!$I$11</definedName>
    <definedName name="_C004130">'Schedule_G'!$I$12</definedName>
    <definedName name="_C004140">'Schedule_G'!$I$13</definedName>
    <definedName name="_C004210">'Schedule_G'!$I$20</definedName>
    <definedName name="_C004220">'Schedule_G'!$I$16</definedName>
    <definedName name="_C004230">'Schedule_G'!$I$21</definedName>
    <definedName name="_C004240">'Schedule_G'!$I$17</definedName>
    <definedName name="_C004250">'Schedule_G'!$I$18</definedName>
    <definedName name="_C004260">'Schedule_G'!$I$22</definedName>
    <definedName name="_C004270">'Schedule_G'!$I$23</definedName>
    <definedName name="_C004280">'Schedule_G'!$I$19</definedName>
    <definedName name="_C004290">'Schedule_G'!$I$24</definedName>
    <definedName name="_C004310">'Schedule_G'!$I$25</definedName>
    <definedName name="_C004320">'Schedule_G'!$I$26</definedName>
    <definedName name="_C004330">'Schedule_G'!$I$27</definedName>
    <definedName name="_C004340">'Schedule_G'!$I$28</definedName>
    <definedName name="_C004355">'Schedule_G'!$I$29</definedName>
    <definedName name="_C004360">'Schedule_G'!$I$30</definedName>
    <definedName name="_C004375">'Schedule_G'!$I$31</definedName>
    <definedName name="_C004380">'Schedule_G'!$I$32</definedName>
    <definedName name="_C004410">'Schedule_G'!$I$35</definedName>
    <definedName name="_C004420">'Schedule_G'!$I$36</definedName>
    <definedName name="_C004430">'Schedule_G'!$I$37</definedName>
    <definedName name="_C004440">'Schedule_G'!$I$38</definedName>
    <definedName name="_C004450">'Schedule_G'!$I$39</definedName>
    <definedName name="_C004460">'Schedule_G'!$I$40</definedName>
    <definedName name="_C004470">'Schedule_G'!$I$41</definedName>
    <definedName name="_C004490">'Schedule_G'!$I$42</definedName>
    <definedName name="_C004500">'Schedule_G'!$I$50</definedName>
    <definedName name="_C004600">'Schedule_G'!$I$49</definedName>
    <definedName name="_C004610">'Schedule_G'!$I$45</definedName>
    <definedName name="_C004620">'Schedule_G'!$I$46</definedName>
    <definedName name="_C004630">'Schedule_G'!$I$47</definedName>
    <definedName name="_C004690">'Schedule_G'!$I$48</definedName>
    <definedName name="_C005114">'Schedule_G'!$I$105</definedName>
    <definedName name="_C005115">'Schedule_G'!$I$121</definedName>
    <definedName name="_C005116">'Schedule_G'!$I$78</definedName>
    <definedName name="_C005117">'Schedule_G'!$I$77</definedName>
    <definedName name="_C005118">'Schedule_G'!$I$79</definedName>
    <definedName name="_C005119">'Schedule_G'!$I$122</definedName>
    <definedName name="_C005210">'Schedule_G'!$I$125</definedName>
    <definedName name="_C005220">'Schedule_G'!$I$126</definedName>
    <definedName name="_C005413">'Schedule_G'!$I$173</definedName>
    <definedName name="_C005415">'Schedule_G'!$I$205</definedName>
    <definedName name="_C005416">'Schedule_G'!$I$172</definedName>
    <definedName name="_C005417">'Schedule_G'!$I$203</definedName>
    <definedName name="_C005418">'Schedule_G'!$I$171</definedName>
    <definedName name="_C005419">'Schedule_G'!$I$204</definedName>
    <definedName name="_C005422">'Schedule_G'!$I$207</definedName>
    <definedName name="_C005423">'Schedule_G'!$I$208</definedName>
    <definedName name="_C005424">'Schedule_G'!$I$209</definedName>
    <definedName name="_C005425">'Schedule_G'!$I$210</definedName>
    <definedName name="_C005426">'Schedule_G'!$I$211</definedName>
    <definedName name="_C005428">'Schedule_G'!$I$212</definedName>
    <definedName name="_C005429">'Schedule_G'!$I$213</definedName>
    <definedName name="_C005430">'Schedule_G'!$I$214</definedName>
    <definedName name="_C005431">'Schedule_G'!$I$215</definedName>
    <definedName name="_C005434">'Schedule_G'!$I$216</definedName>
    <definedName name="_C005436">'Schedule_G'!$I$217</definedName>
    <definedName name="_C005437">'Schedule_G'!$I$218</definedName>
    <definedName name="_C005438">'Schedule_G'!$I$220</definedName>
    <definedName name="_C005439">'Schedule_G'!$I$221</definedName>
    <definedName name="_C005441">'Schedule_G'!$I$236</definedName>
    <definedName name="_C005443">'Schedule_G'!$I$242</definedName>
    <definedName name="_C005444">'Schedule_G'!$I$239</definedName>
    <definedName name="_C005445">'Schedule_G'!$I$241</definedName>
    <definedName name="_C005446">'Schedule_G'!$I$238</definedName>
    <definedName name="_C005447">'Schedule_G'!$I$237</definedName>
    <definedName name="_C005448">'Schedule_G'!$I$240</definedName>
    <definedName name="_C005451">'Schedule_G'!$I$129</definedName>
    <definedName name="_C005453">'Schedule_G'!$I$135</definedName>
    <definedName name="_C005454">'Schedule_G'!$I$132</definedName>
    <definedName name="_C005455">'Schedule_G'!$I$134</definedName>
    <definedName name="_C005456">'Schedule_G'!$I$131</definedName>
    <definedName name="_C005457">'Schedule_G'!$I$130</definedName>
    <definedName name="_C005458">'Schedule_G'!$I$133</definedName>
    <definedName name="_C005461">'Schedule_G'!$I$245</definedName>
    <definedName name="_C005463">'Schedule_G'!$I$251</definedName>
    <definedName name="_C005464">'Schedule_G'!$I$248</definedName>
    <definedName name="_C005465">'Schedule_G'!$I$250</definedName>
    <definedName name="_C005466">'Schedule_G'!$I$247</definedName>
    <definedName name="_C005467">'Schedule_G'!$I$246</definedName>
    <definedName name="_C005468">'Schedule_G'!$I$249</definedName>
    <definedName name="_C005471">'Schedule_G'!$I$138</definedName>
    <definedName name="_C005473">'Schedule_G'!$I$144</definedName>
    <definedName name="_C005474">'Schedule_G'!$I$141</definedName>
    <definedName name="_C005475">'Schedule_G'!$I$143</definedName>
    <definedName name="_C005476">'Schedule_G'!$I$140</definedName>
    <definedName name="_C005477">'Schedule_G'!$I$139</definedName>
    <definedName name="_C005478">'Schedule_G'!$I$142</definedName>
    <definedName name="_C005481">'Schedule_G'!$I$254</definedName>
    <definedName name="_C005482">'Schedule_G'!$I$255</definedName>
    <definedName name="_C005483">'Schedule_G'!$I$256</definedName>
    <definedName name="_C005484">'Schedule_G'!$I$257</definedName>
    <definedName name="_C005485">'Schedule_G'!$I$258</definedName>
    <definedName name="_C005486">'Schedule_G'!$I$259</definedName>
    <definedName name="_C005487">'Schedule_G'!$I$260</definedName>
    <definedName name="_C005488">'Schedule_G'!$I$261</definedName>
    <definedName name="_C005495">'Schedule_G'!$I$202</definedName>
    <definedName name="_C005496">'Schedule_G'!$I$206</definedName>
    <definedName name="_C006221">'Schedule_G'!$I$298</definedName>
    <definedName name="_C006222">'Schedule_G'!$I$299</definedName>
    <definedName name="_C006223">'Schedule_G'!$I$300</definedName>
    <definedName name="_C006224">'Schedule_G'!$I$303</definedName>
    <definedName name="_C006225">'Schedule_G'!$I$301</definedName>
    <definedName name="_C006226">'Schedule_G'!$I$302</definedName>
    <definedName name="_C006227">'Schedule_G'!$I$304</definedName>
    <definedName name="_C006241">'Schedule_G'!$I$306</definedName>
    <definedName name="_C006242">'Schedule_G'!$I$307</definedName>
    <definedName name="_C006243">'Schedule_G'!$I$308</definedName>
    <definedName name="_C006244">'Schedule_G'!$I$311</definedName>
    <definedName name="_C006245">'Schedule_G'!$I$309</definedName>
    <definedName name="_C006246">'Schedule_G'!$I$310</definedName>
    <definedName name="_C006247">'Schedule_G'!$I$312</definedName>
    <definedName name="_C006281">'Schedule_G'!$I$314</definedName>
    <definedName name="_C006282">'Schedule_G'!$I$315</definedName>
    <definedName name="_C006283">'Schedule_G'!$I$316</definedName>
    <definedName name="_C006284">'Schedule_G'!$I$319</definedName>
    <definedName name="_C006285">'Schedule_G'!$I$317</definedName>
    <definedName name="_C006286">'Schedule_G'!$I$318</definedName>
    <definedName name="_C006287">'Schedule_G'!$I$320</definedName>
    <definedName name="_C006291">'Schedule_G'!$I$322</definedName>
    <definedName name="_C006292">'Schedule_G'!$I$323</definedName>
    <definedName name="_C006293">'Schedule_G'!$I$324</definedName>
    <definedName name="_C006294">'Schedule_G'!$I$327</definedName>
    <definedName name="_C006295">'Schedule_G'!$I$325</definedName>
    <definedName name="_C006296">'Schedule_G'!$I$326</definedName>
    <definedName name="_C006297">'Schedule_G'!$I$328</definedName>
    <definedName name="_C006300">'Schedule_G'!$I$331</definedName>
    <definedName name="_C006301">'Schedule_G'!$I$332</definedName>
    <definedName name="_C006302">'Schedule_G'!$I$335</definedName>
    <definedName name="_C006321">'Schedule_G'!$I$338</definedName>
    <definedName name="_C006323">'Schedule_G'!$I$343</definedName>
    <definedName name="_C006324">'Schedule_G'!$I$341</definedName>
    <definedName name="_C006325">'Schedule_G'!$I$342</definedName>
    <definedName name="_C006326">'Schedule_G'!$I$340</definedName>
    <definedName name="_C006327">'Schedule_G'!$I$339</definedName>
    <definedName name="_C006500">'Schedule_G'!$I$413</definedName>
    <definedName name="_C006513">'Schedule_G'!$I$357</definedName>
    <definedName name="_C006514">'Schedule_G'!$I$358</definedName>
    <definedName name="_C006515">'Schedule_G'!$I$359</definedName>
    <definedName name="_C006516">'Schedule_G'!$I$360</definedName>
    <definedName name="_C006517">'Schedule_G'!$I$361</definedName>
    <definedName name="_C006518">'Schedule_G'!$I$362</definedName>
    <definedName name="_C006519">'Schedule_G'!$I$363</definedName>
    <definedName name="_C006610">'Schedule_G'!$I$423</definedName>
    <definedName name="_C006620">'Schedule_G'!$I$424</definedName>
    <definedName name="_C006630">'Schedule_G'!$I$425</definedName>
    <definedName name="_C007000">'Schedule_B'!$I$38</definedName>
    <definedName name="_C007005">'Schedule_G'!$I$428</definedName>
    <definedName name="_C007006">'Schedule_G'!$I$431</definedName>
    <definedName name="_C007007">'Schedule_G'!$I$433</definedName>
    <definedName name="_C007008">'Schedule_G'!$J$431</definedName>
    <definedName name="_C007010">'Schedule_G'!$I$345</definedName>
    <definedName name="_C007014">'Schedule_G'!$I$344</definedName>
    <definedName name="_C007016">'Schedule_G'!$I$243</definedName>
    <definedName name="_C007017">'Schedule_G'!$I$136</definedName>
    <definedName name="_C007018">'Schedule_G'!$I$252</definedName>
    <definedName name="_C007019">'Schedule_G'!$I$145</definedName>
    <definedName name="_C007020">'Schedule_G'!$I$262</definedName>
    <definedName name="_C007022">'Schedule_G'!$I$265</definedName>
    <definedName name="_C007023">'Schedule_G'!$I$223</definedName>
    <definedName name="_C007024">'Schedule_G'!$I$166</definedName>
    <definedName name="_C007025">'Schedule_G'!$I$182</definedName>
    <definedName name="_C007026">'Schedule_G'!$I$76</definedName>
    <definedName name="_C007028">'Schedule_G'!$I$127</definedName>
    <definedName name="_C007045">'Schedule_G'!$I$14</definedName>
    <definedName name="_C007046">'Schedule_G'!$I$33</definedName>
    <definedName name="_C007047">'Schedule_G'!$I$43</definedName>
    <definedName name="_C007048">'Schedule_G'!$I$51</definedName>
    <definedName name="_C007055">'Schedule_B'!$J$27</definedName>
    <definedName name="_C007057">'Schedule_B'!$J$67</definedName>
    <definedName name="_C007058">'Schedule_B'!$J$76</definedName>
    <definedName name="_C007059">'Schedule_B'!$J$78</definedName>
    <definedName name="_C007060">'Schedule_B'!$J$103</definedName>
    <definedName name="_C007061">'Schedule_B'!$J$113</definedName>
    <definedName name="_C007062">'Schedule_B'!$J$121</definedName>
    <definedName name="_C007063">'Schedule_B'!$J$122</definedName>
    <definedName name="_C007065">'Schedule_B'!$J$126</definedName>
    <definedName name="_C007066">'Schedule_B'!$J$128</definedName>
    <definedName name="_C007067">'Schedule_G'!$I$436</definedName>
    <definedName name="_C007076">'Schedule_B'!$G$64</definedName>
    <definedName name="_C007077">'Schedule_B'!$G$65</definedName>
    <definedName name="_C007078">'Schedule_B'!$G$66</definedName>
    <definedName name="_C007079">'Schedule_B'!$G$67</definedName>
    <definedName name="_C007208">'Schedule_B'!$F$64</definedName>
    <definedName name="_C007209">'Schedule_B'!$F$65</definedName>
    <definedName name="_C007210">'Schedule_B'!$F$66</definedName>
    <definedName name="_C007211">'Schedule_B'!$F$67</definedName>
    <definedName name="_C007231">'Schedule_G'!$I$412</definedName>
    <definedName name="_C008039">'Schedule_M'!$I$20</definedName>
    <definedName name="_C008068">'Schedule_G'!$F$265</definedName>
    <definedName name="_C008069">'Schedule_G'!$G$265</definedName>
    <definedName name="_C008070">'Schedule_G'!$H$265</definedName>
    <definedName name="_C009900">'Schedule_G'!$I$123</definedName>
    <definedName name="_C009902">'Schedule_G'!$I$264</definedName>
    <definedName name="_C009903">'Schedule_G'!$I$146</definedName>
    <definedName name="_C009904">'Schedule_G'!$I$263</definedName>
    <definedName name="_C009905">'Schedule_G'!$I$222</definedName>
    <definedName name="_C009996">'Schedule_G'!$F$147</definedName>
    <definedName name="_C009997">'Schedule_G'!$G$147</definedName>
    <definedName name="_C009998">'Schedule_G'!$H$147</definedName>
    <definedName name="_C009999">'Schedule_G'!$I$147</definedName>
    <definedName name="_C041400">'Schedule_B'!$J$50</definedName>
    <definedName name="_C511101">'Schedule_G'!$I$62</definedName>
    <definedName name="_C511102">'Schedule_G'!$I$63</definedName>
    <definedName name="_C511103">'Schedule_G'!$I$64</definedName>
    <definedName name="_C511104">'Schedule_G'!$I$65</definedName>
    <definedName name="_C511105">'Schedule_G'!$I$66</definedName>
    <definedName name="_C511109">'Schedule_G'!$I$69</definedName>
    <definedName name="_C511110">'Schedule_G'!$I$124</definedName>
    <definedName name="_C511111">'Schedule_G'!$I$70</definedName>
    <definedName name="_C511112">'Schedule_G'!$I$71</definedName>
    <definedName name="_C511113">'Schedule_G'!$I$72</definedName>
    <definedName name="_C511114">'Schedule_G'!$I$73</definedName>
    <definedName name="_C511115">'Schedule_G'!$I$330</definedName>
    <definedName name="_C511119">'Schedule_G'!$I$75</definedName>
    <definedName name="_C511125">'Schedule_G'!$I$74</definedName>
    <definedName name="_C511401">'Schedule_G'!$I$81</definedName>
    <definedName name="_C511402">'Schedule_G'!$I$82</definedName>
    <definedName name="_C511403">'Schedule_G'!$I$83</definedName>
    <definedName name="_C511404">'Schedule_G'!$I$84</definedName>
    <definedName name="_C511405">'Schedule_G'!$I$85</definedName>
    <definedName name="_C511409">'Schedule_G'!$I$88</definedName>
    <definedName name="_C511411">'Schedule_G'!$I$89</definedName>
    <definedName name="_C511412">'Schedule_G'!$I$90</definedName>
    <definedName name="_C511413">'Schedule_G'!$I$91</definedName>
    <definedName name="_C511414">'Schedule_G'!$I$92</definedName>
    <definedName name="_C511415">'Schedule_G'!$I$333</definedName>
    <definedName name="_C511424">'Schedule_G'!$I$104</definedName>
    <definedName name="_C511425">'Schedule_G'!$I$103</definedName>
    <definedName name="_C511501">'Schedule_G'!$I$107</definedName>
    <definedName name="_C511502">'Schedule_G'!$I$108</definedName>
    <definedName name="_C511503">'Schedule_G'!$I$109</definedName>
    <definedName name="_C511504">'Schedule_G'!$I$110</definedName>
    <definedName name="_C511505">'Schedule_G'!$I$111</definedName>
    <definedName name="_C511509">'Schedule_G'!$I$114</definedName>
    <definedName name="_C511511">'Schedule_G'!$I$115</definedName>
    <definedName name="_C511512">'Schedule_G'!$I$116</definedName>
    <definedName name="_C511513">'Schedule_G'!$I$117</definedName>
    <definedName name="_C511514">'Schedule_G'!$I$118</definedName>
    <definedName name="_C511515">'Schedule_G'!$I$334</definedName>
    <definedName name="_C511524">'Schedule_G'!$I$120</definedName>
    <definedName name="_C511525">'Schedule_G'!$I$119</definedName>
    <definedName name="_C541140">'Schedule_G'!$I$159</definedName>
    <definedName name="_C541141">'Schedule_G'!$I$160</definedName>
    <definedName name="_C541142">'Schedule_G'!$I$161</definedName>
    <definedName name="_C541143">'Schedule_G'!$I$162</definedName>
    <definedName name="_C541145">'Schedule_G'!$I$163</definedName>
    <definedName name="_C541146">'Schedule_G'!$I$164</definedName>
    <definedName name="_C541151">'Schedule_G'!$I$165</definedName>
    <definedName name="_C541220">'Schedule_G'!$I$167</definedName>
    <definedName name="_C541230">'Schedule_G'!$I$169</definedName>
    <definedName name="_C541440">'Schedule_G'!$I$175</definedName>
    <definedName name="_C541441">'Schedule_G'!$I$176</definedName>
    <definedName name="_C541442">'Schedule_G'!$I$177</definedName>
    <definedName name="_C541443">'Schedule_G'!$I$178</definedName>
    <definedName name="_C541445">'Schedule_G'!$I$179</definedName>
    <definedName name="_C541446">'Schedule_G'!$I$180</definedName>
    <definedName name="_C541450">'Schedule_G'!$I$181</definedName>
    <definedName name="_C541540">'Schedule_G'!$I$195</definedName>
    <definedName name="_C541541">'Schedule_G'!$I$196</definedName>
    <definedName name="_C541542">'Schedule_G'!$I$197</definedName>
    <definedName name="_C541543">'Schedule_G'!$I$198</definedName>
    <definedName name="_C541545">'Schedule_G'!$I$199</definedName>
    <definedName name="_C541546">'Schedule_G'!$I$200</definedName>
    <definedName name="_C541547">'Schedule_G'!$I$201</definedName>
    <definedName name="_C620001">'Schedule_G-7'!$D$12</definedName>
    <definedName name="_C620002">'Schedule_G-7'!$E$12</definedName>
    <definedName name="_C620003">'Schedule_G-7'!$F$12</definedName>
    <definedName name="_C620004">'Schedule_G-7'!$G$12</definedName>
    <definedName name="_C620005">'Schedule_G-7'!$H$12</definedName>
    <definedName name="_C620006">'Schedule_G-7'!$I$12</definedName>
    <definedName name="_C620007">'Schedule_G-7'!$D$13</definedName>
    <definedName name="_C620008">'Schedule_G-7'!$E$13</definedName>
    <definedName name="_C620009">'Schedule_G-7'!$F$13</definedName>
    <definedName name="_C620010">'Schedule_G-7'!$G$13</definedName>
    <definedName name="_C620011">'Schedule_G-7'!$H$13</definedName>
    <definedName name="_C620012">'Schedule_G-7'!$I$13</definedName>
    <definedName name="_C620013">'Schedule_G-7'!$D$14</definedName>
    <definedName name="_C620014">'Schedule_G-7'!$E$14</definedName>
    <definedName name="_C620015">'Schedule_G-7'!$F$14</definedName>
    <definedName name="_C620016">'Schedule_G-7'!$G$14</definedName>
    <definedName name="_C620017">'Schedule_G-7'!$H$14</definedName>
    <definedName name="_C620018">'Schedule_G-7'!$I$14</definedName>
    <definedName name="_C620019">'Schedule_G-7'!$D$15</definedName>
    <definedName name="_C620020">'Schedule_G-7'!$E$15</definedName>
    <definedName name="_C620021">'Schedule_G-7'!$F$15</definedName>
    <definedName name="_C620022">'Schedule_G-7'!$G$15</definedName>
    <definedName name="_C620023">'Schedule_G-7'!$H$15</definedName>
    <definedName name="_C620024">'Schedule_G-7'!$I$15</definedName>
    <definedName name="_C620025">'Schedule_G-7'!$D$16</definedName>
    <definedName name="_C620026">'Schedule_G-7'!$E$16</definedName>
    <definedName name="_C620027">'Schedule_G-7'!$F$16</definedName>
    <definedName name="_C620028">'Schedule_G-7'!$G$16</definedName>
    <definedName name="_C620029">'Schedule_G-7'!$H$16</definedName>
    <definedName name="_C620030">'Schedule_G-7'!$I$16</definedName>
    <definedName name="_C620031">'Schedule_G-7'!$D$17</definedName>
    <definedName name="_C620032">'Schedule_G-7'!$E$17</definedName>
    <definedName name="_C620033">'Schedule_G-7'!$F$17</definedName>
    <definedName name="_C620034">'Schedule_G-7'!$G$17</definedName>
    <definedName name="_C620035">'Schedule_G-7'!$H$17</definedName>
    <definedName name="_C620036">'Schedule_G-7'!$I$17</definedName>
    <definedName name="_C620037">'Schedule_G-7'!$D$18</definedName>
    <definedName name="_C620038">'Schedule_G-7'!$E$18</definedName>
    <definedName name="_C620039">'Schedule_G-7'!$F$18</definedName>
    <definedName name="_C620040">'Schedule_G-7'!$G$18</definedName>
    <definedName name="_C620041">'Schedule_G-7'!$H$18</definedName>
    <definedName name="_C620042">'Schedule_G-7'!$I$18</definedName>
    <definedName name="_C620043">'Schedule_G-7'!$D$19</definedName>
    <definedName name="_C620044">'Schedule_G-7'!$E$19</definedName>
    <definedName name="_C620045">'Schedule_G-7'!$F$19</definedName>
    <definedName name="_C620046">'Schedule_G-7'!$G$19</definedName>
    <definedName name="_C620047">'Schedule_G-7'!$H$19</definedName>
    <definedName name="_C620048">'Schedule_G-7'!$I$19</definedName>
    <definedName name="_C620049">'Schedule_G-7'!$H$25</definedName>
    <definedName name="_C620050">'Schedule_G-7'!$I$25</definedName>
    <definedName name="_C620051">'Schedule_G-7'!$J$25</definedName>
    <definedName name="_C620052">'Schedule_G-7'!$K$25</definedName>
    <definedName name="_C620053">'Schedule_G-7'!$H$26</definedName>
    <definedName name="_C620054">'Schedule_G-7'!$I$26</definedName>
    <definedName name="_C620055">'Schedule_G-7'!$J$26</definedName>
    <definedName name="_C620056">'Schedule_G-7'!$K$26</definedName>
    <definedName name="_C620057">'Schedule_G-7'!$H$27</definedName>
    <definedName name="_C620058">'Schedule_G-7'!$I$27</definedName>
    <definedName name="_C620059">'Schedule_G-7'!$J$27</definedName>
    <definedName name="_C620060">'Schedule_G-7'!$K$27</definedName>
    <definedName name="_C620061">'Schedule_G-7'!$H$28</definedName>
    <definedName name="_C620062">'Schedule_G-7'!$I$28</definedName>
    <definedName name="_C620063">'Schedule_G-7'!$J$28</definedName>
    <definedName name="_C620064">'Schedule_G-7'!$K$28</definedName>
    <definedName name="_C620065">'Schedule_G-7'!$H$29</definedName>
    <definedName name="_C620066">'Schedule_G-7'!$I$29</definedName>
    <definedName name="_C620067">'Schedule_G-7'!$J$29</definedName>
    <definedName name="_C620068">'Schedule_G-7'!$K$29</definedName>
    <definedName name="_C620069">'Schedule_G-7'!$H$30</definedName>
    <definedName name="_C620070">'Schedule_G-7'!$I$30</definedName>
    <definedName name="_C620071">'Schedule_G-7'!$J$30</definedName>
    <definedName name="_C620072">'Schedule_G-7'!$K$30</definedName>
    <definedName name="_C620073">'Schedule_G-7'!$H$31</definedName>
    <definedName name="_C620074">'Schedule_G-7'!$I$31</definedName>
    <definedName name="_C620075">'Schedule_G-7'!$J$31</definedName>
    <definedName name="_C620076">'Schedule_G-7'!$K$31</definedName>
    <definedName name="_C620077">'Schedule_G-7'!$H$32</definedName>
    <definedName name="_C620078">'Schedule_G-7'!$I$32</definedName>
    <definedName name="_C620079">'Schedule_G-7'!$J$32</definedName>
    <definedName name="_C620080">'Schedule_G-7'!$K$32</definedName>
    <definedName name="_C620081">'Schedule_G-7'!$H$33</definedName>
    <definedName name="_C620082">'Schedule_G-7'!$I$33</definedName>
    <definedName name="_C620083">'Schedule_G-7'!$J$33</definedName>
    <definedName name="_C620084">'Schedule_G-7'!$K$33</definedName>
    <definedName name="_C620085">'Schedule_G-7'!$H$34</definedName>
    <definedName name="_C620086">'Schedule_G-7'!$I$34</definedName>
    <definedName name="_C620087">'Schedule_G-7'!$J$34</definedName>
    <definedName name="_C620088">'Schedule_G-7'!$K$34</definedName>
    <definedName name="_C620089">'Schedule_G-7'!$H$35</definedName>
    <definedName name="_C620090">'Schedule_G-7'!$I$35</definedName>
    <definedName name="_C620091">'Schedule_G-7'!$J$35</definedName>
    <definedName name="_C620092">'Schedule_G-7'!$K$35</definedName>
    <definedName name="_C620093">'Schedule_G-7'!$H$36</definedName>
    <definedName name="_C620094">'Schedule_G-7'!$I$36</definedName>
    <definedName name="_C620095">'Schedule_G-7'!$J$36</definedName>
    <definedName name="_C620096">'Schedule_G-7'!$K$36</definedName>
    <definedName name="_C620097">'Schedule_G-7'!$J$38</definedName>
    <definedName name="_C773078">'Schedule_N'!$K$20</definedName>
    <definedName name="_C800500">'Schedule_G'!$F$123</definedName>
    <definedName name="_C800501">'Schedule_G'!$G$123</definedName>
    <definedName name="_C800502">'Schedule_G'!$H$123</definedName>
    <definedName name="_C800507">'Schedule_G'!$F$264</definedName>
    <definedName name="_C800508">'Schedule_G'!$G$264</definedName>
    <definedName name="_C800509">'Schedule_G'!$H$264</definedName>
    <definedName name="_C800510">'Schedule_G'!$J$264</definedName>
    <definedName name="_C800511">'Schedule_G'!$F$146</definedName>
    <definedName name="_C800512">'Schedule_G'!$G$146</definedName>
    <definedName name="_C800513">'Schedule_G'!$H$146</definedName>
    <definedName name="_C800514">'Schedule_G'!$F$263</definedName>
    <definedName name="_C800515">'Schedule_G'!$G$263</definedName>
    <definedName name="_C800516">'Schedule_G'!$H$263</definedName>
    <definedName name="_C800521">'Schedule_G'!$J$123</definedName>
    <definedName name="_C800538">'Schedule_G'!$G$222</definedName>
    <definedName name="_C800539">'Schedule_G'!$H$222</definedName>
    <definedName name="_C800540">'Schedule_G-8'!$D$6</definedName>
    <definedName name="_C800541">'Schedule_G-8'!$D$9</definedName>
    <definedName name="_C800542">'Schedule_G-8'!$D$10</definedName>
    <definedName name="_C800543">'Schedule_G-8'!$D$11</definedName>
    <definedName name="_C800544">'Schedule_G-8'!$D$12</definedName>
    <definedName name="_C800545">'Schedule_G-8'!$D$5</definedName>
    <definedName name="_C800546">'Schedule_G-8'!$D$7</definedName>
    <definedName name="_C800547">'Schedule_G-8'!$D$8</definedName>
    <definedName name="_C900000">'Schedule_B'!$F$15</definedName>
    <definedName name="_C900001">'Schedule_B'!$F$16</definedName>
    <definedName name="_C900002">'Schedule_B'!$F$17</definedName>
    <definedName name="_C900003">'Schedule_B'!$F$18</definedName>
    <definedName name="_C900004">'Schedule_B'!$F$19</definedName>
    <definedName name="_C900005">'Schedule_B'!$F$20</definedName>
    <definedName name="_C900006">'Schedule_B'!$F$21</definedName>
    <definedName name="_C900007">'Schedule_B'!$F$22</definedName>
    <definedName name="_C900008">'Schedule_B'!$F$23</definedName>
    <definedName name="_C900009">'Schedule_B'!$F$24</definedName>
    <definedName name="_C900010">'Schedule_B'!$F$25</definedName>
    <definedName name="_C900011">'Schedule_B'!$F$26</definedName>
    <definedName name="_C900012">'Schedule_B'!$F$27</definedName>
    <definedName name="_C900013">'Schedule_B'!$G$15</definedName>
    <definedName name="_C900014">'Schedule_B'!$G$16</definedName>
    <definedName name="_C900015">'Schedule_B'!$G$17</definedName>
    <definedName name="_C900016">'Schedule_B'!$G$18</definedName>
    <definedName name="_C900017">'Schedule_B'!$G$19</definedName>
    <definedName name="_C900018">'Schedule_B'!$G$20</definedName>
    <definedName name="_C900019">'Schedule_B'!$G$21</definedName>
    <definedName name="_C900020">'Schedule_B'!$G$22</definedName>
    <definedName name="_C900021">'Schedule_B'!$G$23</definedName>
    <definedName name="_C900022">'Schedule_B'!$G$24</definedName>
    <definedName name="_C900023">'Schedule_B'!$G$25</definedName>
    <definedName name="_C900024">'Schedule_B'!$G$26</definedName>
    <definedName name="_C900025">'Schedule_B'!$G$27</definedName>
    <definedName name="_C900026">'Schedule_B'!$H$15</definedName>
    <definedName name="_C900027">'Schedule_B'!$H$16</definedName>
    <definedName name="_C900028">'Schedule_B'!$H$17</definedName>
    <definedName name="_C900029">'Schedule_B'!$H$18</definedName>
    <definedName name="_C900030">'Schedule_B'!$H$19</definedName>
    <definedName name="_C900031">'Schedule_B'!$H$20</definedName>
    <definedName name="_C900032">'Schedule_B'!$H$21</definedName>
    <definedName name="_C900033">'Schedule_B'!$H$22</definedName>
    <definedName name="_C900034">'Schedule_B'!$H$23</definedName>
    <definedName name="_C900035">'Schedule_B'!$H$24</definedName>
    <definedName name="_C900036">'Schedule_B'!$H$25</definedName>
    <definedName name="_C900037">'Schedule_B'!$H$26</definedName>
    <definedName name="_C900038">'Schedule_B'!$H$27</definedName>
    <definedName name="_C900039">'Schedule_B'!$I$15</definedName>
    <definedName name="_C900040">'Schedule_B'!$I$16</definedName>
    <definedName name="_C900041">'Schedule_B'!$I$17</definedName>
    <definedName name="_C900042">'Schedule_B'!$I$18</definedName>
    <definedName name="_C900043">'Schedule_B'!$I$19</definedName>
    <definedName name="_C900044">'Schedule_B'!$I$20</definedName>
    <definedName name="_C900045">'Schedule_B'!$I$21</definedName>
    <definedName name="_C900046">'Schedule_B'!$I$22</definedName>
    <definedName name="_C900047">'Schedule_B'!$I$23</definedName>
    <definedName name="_C900048">'Schedule_B'!$I$24</definedName>
    <definedName name="_C900049">'Schedule_B'!$I$25</definedName>
    <definedName name="_C900050">'Schedule_B'!$I$26</definedName>
    <definedName name="_C900051">'Schedule_B'!$I$27</definedName>
    <definedName name="_C900052">'Schedule_B'!$H$64</definedName>
    <definedName name="_C900053">'Schedule_B'!$H$65</definedName>
    <definedName name="_C900054">'Schedule_B'!$H$66</definedName>
    <definedName name="_C900055">'Schedule_B'!$H$67</definedName>
    <definedName name="_C900056">'Schedule_B'!$I$64</definedName>
    <definedName name="_C900057">'Schedule_B'!$I$65</definedName>
    <definedName name="_C900058">'Schedule_B'!$I$66</definedName>
    <definedName name="_C900059">'Schedule_B'!$I$67</definedName>
    <definedName name="_C900060">'Schedule_B'!$F$70</definedName>
    <definedName name="_C900061">'Schedule_B'!$F$71</definedName>
    <definedName name="_C900062">'Schedule_B'!$F$72</definedName>
    <definedName name="_C900063">'Schedule_B'!$F$73</definedName>
    <definedName name="_C900064">'Schedule_B'!$F$74</definedName>
    <definedName name="_C900065">'Schedule_B'!$F$75</definedName>
    <definedName name="_C900066">'Schedule_B'!$F$76</definedName>
    <definedName name="_C900067">'Schedule_B'!$F$78</definedName>
    <definedName name="_C900068">'Schedule_B'!$G$70</definedName>
    <definedName name="_C900069">'Schedule_B'!$G$71</definedName>
    <definedName name="_C900070">'Schedule_B'!$G$72</definedName>
    <definedName name="_C900071">'Schedule_B'!$G$73</definedName>
    <definedName name="_C900072">'Schedule_B'!$G$74</definedName>
    <definedName name="_C900073">'Schedule_B'!$G$75</definedName>
    <definedName name="_C900074">'Schedule_B'!$G$76</definedName>
    <definedName name="_C900075">'Schedule_B'!$G$78</definedName>
    <definedName name="_C900076">'Schedule_B'!$H$70</definedName>
    <definedName name="_C900077">'Schedule_B'!$H$71</definedName>
    <definedName name="_C900078">'Schedule_B'!$H$72</definedName>
    <definedName name="_C900079">'Schedule_B'!$H$73</definedName>
    <definedName name="_C900080">'Schedule_B'!$H$74</definedName>
    <definedName name="_C900081">'Schedule_B'!$H$75</definedName>
    <definedName name="_C900082">'Schedule_B'!$H$76</definedName>
    <definedName name="_C900083">'Schedule_B'!$H$78</definedName>
    <definedName name="_C900084">'Schedule_B'!$I$70</definedName>
    <definedName name="_C900085">'Schedule_B'!$I$71</definedName>
    <definedName name="_C900086">'Schedule_B'!$I$72</definedName>
    <definedName name="_C900087">'Schedule_B'!$I$73</definedName>
    <definedName name="_C900088">'Schedule_B'!$I$74</definedName>
    <definedName name="_C900089">'Schedule_B'!$I$75</definedName>
    <definedName name="_C900090">'Schedule_B'!$I$76</definedName>
    <definedName name="_C900091">'Schedule_B'!$I$78</definedName>
    <definedName name="_C900092">'Schedule_B'!$F$94</definedName>
    <definedName name="_C900093">'Schedule_B'!$F$95</definedName>
    <definedName name="_C900094">'Schedule_B'!$F$96</definedName>
    <definedName name="_C900095">'Schedule_B'!$F$97</definedName>
    <definedName name="_C900096">'Schedule_B'!$F$98</definedName>
    <definedName name="_C900097">'Schedule_B'!$F$99</definedName>
    <definedName name="_C900098">'Schedule_B'!$F$100</definedName>
    <definedName name="_C900099">'Schedule_B'!$F$101</definedName>
    <definedName name="_C900100">'Schedule_B'!$F$102</definedName>
    <definedName name="_C900101">'Schedule_B'!$F$103</definedName>
    <definedName name="_C900102">'Schedule_B'!$G$94</definedName>
    <definedName name="_C900103">'Schedule_B'!$G$95</definedName>
    <definedName name="_C900104">'Schedule_B'!$G$96</definedName>
    <definedName name="_C900105">'Schedule_B'!$G$97</definedName>
    <definedName name="_C900106">'Schedule_B'!$G$98</definedName>
    <definedName name="_C900107">'Schedule_B'!$G$99</definedName>
    <definedName name="_C900108">'Schedule_B'!$G$100</definedName>
    <definedName name="_C900109">'Schedule_B'!$G$101</definedName>
    <definedName name="_C900110">'Schedule_B'!$G$102</definedName>
    <definedName name="_C900111">'Schedule_B'!$G$103</definedName>
    <definedName name="_C900112">'Schedule_B'!$H$94</definedName>
    <definedName name="_C900113">'Schedule_B'!$H$95</definedName>
    <definedName name="_C900114">'Schedule_B'!$H$96</definedName>
    <definedName name="_C900115">'Schedule_B'!$H$97</definedName>
    <definedName name="_C900116">'Schedule_B'!$H$98</definedName>
    <definedName name="_C900117">'Schedule_B'!$H$99</definedName>
    <definedName name="_C900118">'Schedule_B'!$H$100</definedName>
    <definedName name="_C900119">'Schedule_B'!$H$101</definedName>
    <definedName name="_C900120">'Schedule_B'!$H$102</definedName>
    <definedName name="_C900121">'Schedule_B'!$H$103</definedName>
    <definedName name="_C900122">'Schedule_B'!$I$94</definedName>
    <definedName name="_C900123">'Schedule_B'!$I$95</definedName>
    <definedName name="_C900124">'Schedule_B'!$I$96</definedName>
    <definedName name="_C900125">'Schedule_B'!$I$97</definedName>
    <definedName name="_C900126">'Schedule_B'!$I$98</definedName>
    <definedName name="_C900127">'Schedule_B'!$I$99</definedName>
    <definedName name="_C900128">'Schedule_B'!$I$100</definedName>
    <definedName name="_C900129">'Schedule_B'!$I$101</definedName>
    <definedName name="_C900130">'Schedule_B'!$I$102</definedName>
    <definedName name="_C900131">'Schedule_B'!$I$103</definedName>
    <definedName name="_C900132">'Schedule_B'!$F$106</definedName>
    <definedName name="_C900133">'Schedule_B'!$F$107</definedName>
    <definedName name="_C900134">'Schedule_B'!$F$108</definedName>
    <definedName name="_C900135">'Schedule_B'!$F$109</definedName>
    <definedName name="_C900136">'Schedule_B'!$F$110</definedName>
    <definedName name="_C900137">'Schedule_B'!$F$111</definedName>
    <definedName name="_C900138">'Schedule_B'!$F$112</definedName>
    <definedName name="_C900139">'Schedule_B'!$F$113</definedName>
    <definedName name="_C900140">'Schedule_B'!$G$106</definedName>
    <definedName name="_C900141">'Schedule_B'!$G$107</definedName>
    <definedName name="_C900142">'Schedule_B'!$G$108</definedName>
    <definedName name="_C900143">'Schedule_B'!$G$109</definedName>
    <definedName name="_C900144">'Schedule_B'!$G$110</definedName>
    <definedName name="_C900145">'Schedule_B'!$G$111</definedName>
    <definedName name="_C900146">'Schedule_B'!$G$112</definedName>
    <definedName name="_C900147">'Schedule_B'!$G$113</definedName>
    <definedName name="_C900148">'Schedule_B'!$H$106</definedName>
    <definedName name="_C900149">'Schedule_B'!$H$107</definedName>
    <definedName name="_C900150">'Schedule_B'!$H$108</definedName>
    <definedName name="_C900151">'Schedule_B'!$H$109</definedName>
    <definedName name="_C900152">'Schedule_B'!$H$110</definedName>
    <definedName name="_C900153">'Schedule_B'!$H$111</definedName>
    <definedName name="_C900154">'Schedule_B'!$H$112</definedName>
    <definedName name="_C900155">'Schedule_B'!$H$113</definedName>
    <definedName name="_C900156">'Schedule_B'!$I$106</definedName>
    <definedName name="_C900157">'Schedule_B'!$I$107</definedName>
    <definedName name="_C900158">'Schedule_B'!$I$108</definedName>
    <definedName name="_C900159">'Schedule_B'!$I$109</definedName>
    <definedName name="_C900160">'Schedule_B'!$I$110</definedName>
    <definedName name="_C900161">'Schedule_B'!$I$111</definedName>
    <definedName name="_C900162">'Schedule_B'!$I$112</definedName>
    <definedName name="_C900163">'Schedule_B'!$I$113</definedName>
    <definedName name="_C900164">'Schedule_B'!$F$117</definedName>
    <definedName name="_C900165">'Schedule_B'!$F$118</definedName>
    <definedName name="_C900166">'Schedule_B'!$F$119</definedName>
    <definedName name="_C900167">'Schedule_B'!$F$120</definedName>
    <definedName name="_C900168">'Schedule_B'!$F$121</definedName>
    <definedName name="_C900169">'Schedule_B'!$F$122</definedName>
    <definedName name="_C900170">'Schedule_B'!$F$123</definedName>
    <definedName name="_C900171">'Schedule_B'!$F$124</definedName>
    <definedName name="_C900172">'Schedule_B'!$F$125</definedName>
    <definedName name="_C900173">'Schedule_B'!$F$126</definedName>
    <definedName name="_C900174">'Schedule_B'!$F$128</definedName>
    <definedName name="_C900175">'Schedule_B'!$G$117</definedName>
    <definedName name="_C900176">'Schedule_B'!$G$118</definedName>
    <definedName name="_C900177">'Schedule_B'!$G$119</definedName>
    <definedName name="_C900178">'Schedule_B'!$G$120</definedName>
    <definedName name="_C900179">'Schedule_B'!$G$121</definedName>
    <definedName name="_C900180">'Schedule_B'!$G$122</definedName>
    <definedName name="_C900181">'Schedule_B'!$G$123</definedName>
    <definedName name="_C900182">'Schedule_B'!$G$124</definedName>
    <definedName name="_C900183">'Schedule_B'!$G$125</definedName>
    <definedName name="_C900184">'Schedule_B'!$G$126</definedName>
    <definedName name="_C900185">'Schedule_B'!$G$128</definedName>
    <definedName name="_C900186">'Schedule_B'!$H$117</definedName>
    <definedName name="_C900187">'Schedule_B'!$H$118</definedName>
    <definedName name="_C900188">'Schedule_B'!$H$119</definedName>
    <definedName name="_C900189">'Schedule_B'!$H$120</definedName>
    <definedName name="_C900190">'Schedule_B'!$H$121</definedName>
    <definedName name="_C900191">'Schedule_B'!$H$122</definedName>
    <definedName name="_C900192">'Schedule_B'!$H$123</definedName>
    <definedName name="_C900193">'Schedule_B'!$H$124</definedName>
    <definedName name="_C900194">'Schedule_B'!$H$125</definedName>
    <definedName name="_C900195">'Schedule_B'!$H$126</definedName>
    <definedName name="_C900196">'Schedule_B'!$H$128</definedName>
    <definedName name="_C900197">'Schedule_B'!$I$117</definedName>
    <definedName name="_C900198">'Schedule_B'!$I$118</definedName>
    <definedName name="_C900199">'Schedule_B'!$I$119</definedName>
    <definedName name="_C900200">'Schedule_B'!$I$120</definedName>
    <definedName name="_C900201">'Schedule_B'!$I$121</definedName>
    <definedName name="_C900202">'Schedule_B'!$I$122</definedName>
    <definedName name="_C900203">'Schedule_B'!$I$123</definedName>
    <definedName name="_C900204">'Schedule_B'!$I$124</definedName>
    <definedName name="_C900205">'Schedule_B'!$I$125</definedName>
    <definedName name="_C900206">'Schedule_B'!$I$126</definedName>
    <definedName name="_C900207">'Schedule_B'!$I$128</definedName>
    <definedName name="_C900214">'Schedule_G'!$F$10</definedName>
    <definedName name="_C900215">'Schedule_G'!$F$11</definedName>
    <definedName name="_C900216">'Schedule_G'!$F$12</definedName>
    <definedName name="_C900217">'Schedule_G'!$F$13</definedName>
    <definedName name="_C900218">'Schedule_G'!$F$14</definedName>
    <definedName name="_C900219">'Schedule_G'!$G$10</definedName>
    <definedName name="_C900220">'Schedule_G'!$G$11</definedName>
    <definedName name="_C900221">'Schedule_G'!$G$12</definedName>
    <definedName name="_C900222">'Schedule_G'!$G$13</definedName>
    <definedName name="_C900223">'Schedule_G'!$G$14</definedName>
    <definedName name="_C900224">'Schedule_G'!$H$10</definedName>
    <definedName name="_C900225">'Schedule_G'!$H$11</definedName>
    <definedName name="_C900226">'Schedule_G'!$H$12</definedName>
    <definedName name="_C900227">'Schedule_G'!$H$13</definedName>
    <definedName name="_C900228">'Schedule_G'!$H$14</definedName>
    <definedName name="_C900229">'Schedule_G'!$F$16</definedName>
    <definedName name="_C900230">'Schedule_G'!$F$17</definedName>
    <definedName name="_C900231">'Schedule_G'!$F$18</definedName>
    <definedName name="_C900232">'Schedule_G'!$F$19</definedName>
    <definedName name="_C900233">'Schedule_G'!$F$20</definedName>
    <definedName name="_C900234">'Schedule_G'!$F$21</definedName>
    <definedName name="_C900235">'Schedule_G'!$F$22</definedName>
    <definedName name="_C900236">'Schedule_G'!$F$23</definedName>
    <definedName name="_C900237">'Schedule_G'!$F$24</definedName>
    <definedName name="_C900238">'Schedule_G'!$F$25</definedName>
    <definedName name="_C900239">'Schedule_G'!$F$26</definedName>
    <definedName name="_C900240">'Schedule_G'!$F$27</definedName>
    <definedName name="_C900241">'Schedule_G'!$F$28</definedName>
    <definedName name="_C900242">'Schedule_G'!$F$29</definedName>
    <definedName name="_C900243">'Schedule_G'!$F$30</definedName>
    <definedName name="_C900244">'Schedule_G'!$F$31</definedName>
    <definedName name="_C900245">'Schedule_G'!$F$32</definedName>
    <definedName name="_C900246">'Schedule_G'!$F$33</definedName>
    <definedName name="_C900247">'Schedule_G'!$G$16</definedName>
    <definedName name="_C900248">'Schedule_G'!$G$17</definedName>
    <definedName name="_C900249">'Schedule_G'!$G$18</definedName>
    <definedName name="_C900250">'Schedule_G'!$G$19</definedName>
    <definedName name="_C900251">'Schedule_G'!$G$20</definedName>
    <definedName name="_C900252">'Schedule_G'!$G$21</definedName>
    <definedName name="_C900253">'Schedule_G'!$G$22</definedName>
    <definedName name="_C900254">'Schedule_G'!$G$23</definedName>
    <definedName name="_C900255">'Schedule_G'!$G$24</definedName>
    <definedName name="_C900256">'Schedule_G'!$G$25</definedName>
    <definedName name="_C900257">'Schedule_G'!$G$26</definedName>
    <definedName name="_C900258">'Schedule_G'!$G$27</definedName>
    <definedName name="_C900259">'Schedule_G'!$G$28</definedName>
    <definedName name="_C900260">'Schedule_G'!$G$29</definedName>
    <definedName name="_C900261">'Schedule_G'!$G$30</definedName>
    <definedName name="_C900262">'Schedule_G'!$G$31</definedName>
    <definedName name="_C900263">'Schedule_G'!$G$32</definedName>
    <definedName name="_C900264">'Schedule_G'!$G$33</definedName>
    <definedName name="_C900265">'Schedule_G'!$H$16</definedName>
    <definedName name="_C900266">'Schedule_G'!$H$17</definedName>
    <definedName name="_C900267">'Schedule_G'!$H$18</definedName>
    <definedName name="_C900268">'Schedule_G'!$H$19</definedName>
    <definedName name="_C900269">'Schedule_G'!$H$20</definedName>
    <definedName name="_C900270">'Schedule_G'!$H$21</definedName>
    <definedName name="_C900271">'Schedule_G'!$H$22</definedName>
    <definedName name="_C900272">'Schedule_G'!$H$23</definedName>
    <definedName name="_C900273">'Schedule_G'!$H$24</definedName>
    <definedName name="_C900274">'Schedule_G'!$H$25</definedName>
    <definedName name="_C900275">'Schedule_G'!$H$26</definedName>
    <definedName name="_C900276">'Schedule_G'!$H$27</definedName>
    <definedName name="_C900277">'Schedule_G'!$H$28</definedName>
    <definedName name="_C900278">'Schedule_G'!$H$29</definedName>
    <definedName name="_C900279">'Schedule_G'!$H$30</definedName>
    <definedName name="_C900280">'Schedule_G'!$H$31</definedName>
    <definedName name="_C900281">'Schedule_G'!$H$32</definedName>
    <definedName name="_C900282">'Schedule_G'!$H$33</definedName>
    <definedName name="_C900283">'Schedule_G'!$F$35</definedName>
    <definedName name="_C900284">'Schedule_G'!$F$36</definedName>
    <definedName name="_C900285">'Schedule_G'!$F$37</definedName>
    <definedName name="_C900286">'Schedule_G'!$F$38</definedName>
    <definedName name="_C900287">'Schedule_G'!$F$39</definedName>
    <definedName name="_C900288">'Schedule_G'!$F$40</definedName>
    <definedName name="_C900289">'Schedule_G'!$F$41</definedName>
    <definedName name="_C900290">'Schedule_G'!$F$42</definedName>
    <definedName name="_C900291">'Schedule_G'!$F$43</definedName>
    <definedName name="_C900292">'Schedule_G'!$G$35</definedName>
    <definedName name="_C900293">'Schedule_G'!$G$36</definedName>
    <definedName name="_C900294">'Schedule_G'!$G$37</definedName>
    <definedName name="_C900295">'Schedule_G'!$G$38</definedName>
    <definedName name="_C900296">'Schedule_G'!$G$39</definedName>
    <definedName name="_C900297">'Schedule_G'!$G$40</definedName>
    <definedName name="_C900298">'Schedule_G'!$G$41</definedName>
    <definedName name="_C900299">'Schedule_G'!$G$42</definedName>
    <definedName name="_C900300">'Schedule_G'!$G$43</definedName>
    <definedName name="_C900301">'Schedule_G'!$H$35</definedName>
    <definedName name="_C900302">'Schedule_G'!$H$36</definedName>
    <definedName name="_C900303">'Schedule_G'!$H$37</definedName>
    <definedName name="_C900304">'Schedule_G'!$H$38</definedName>
    <definedName name="_C900305">'Schedule_G'!$H$39</definedName>
    <definedName name="_C900306">'Schedule_G'!$H$40</definedName>
    <definedName name="_C900307">'Schedule_G'!$H$41</definedName>
    <definedName name="_C900308">'Schedule_G'!$H$42</definedName>
    <definedName name="_C900309">'Schedule_G'!$H$43</definedName>
    <definedName name="_C900310">'Schedule_G'!$F$45</definedName>
    <definedName name="_C900311">'Schedule_G'!$F$46</definedName>
    <definedName name="_C900312">'Schedule_G'!$F$47</definedName>
    <definedName name="_C900313">'Schedule_G'!$F$48</definedName>
    <definedName name="_C900314">'Schedule_G'!$F$49</definedName>
    <definedName name="_C900315">'Schedule_G'!$F$50</definedName>
    <definedName name="_C900316">'Schedule_G'!$F$51</definedName>
    <definedName name="_C900317">'Schedule_G'!$G$45</definedName>
    <definedName name="_C900318">'Schedule_G'!$G$46</definedName>
    <definedName name="_C900319">'Schedule_G'!$G$47</definedName>
    <definedName name="_C900320">'Schedule_G'!$G$48</definedName>
    <definedName name="_C900321">'Schedule_G'!$G$49</definedName>
    <definedName name="_C900322">'Schedule_G'!$G$50</definedName>
    <definedName name="_C900323">'Schedule_G'!$G$51</definedName>
    <definedName name="_C900324">'Schedule_G'!$H$45</definedName>
    <definedName name="_C900325">'Schedule_G'!$H$46</definedName>
    <definedName name="_C900326">'Schedule_G'!$H$47</definedName>
    <definedName name="_C900327">'Schedule_G'!$H$48</definedName>
    <definedName name="_C900328">'Schedule_G'!$H$49</definedName>
    <definedName name="_C900329">'Schedule_G'!$H$50</definedName>
    <definedName name="_C900330">'Schedule_G'!$H$51</definedName>
    <definedName name="_C900331">'Schedule_G'!$F$62</definedName>
    <definedName name="_C900332">'Schedule_G'!$F$63</definedName>
    <definedName name="_C900333">'Schedule_G'!$F$64</definedName>
    <definedName name="_C900334">'Schedule_G'!$F$65</definedName>
    <definedName name="_C900335">'Schedule_G'!$F$69</definedName>
    <definedName name="_C900336">'Schedule_G'!$F$70</definedName>
    <definedName name="_C900337">'Schedule_G'!$F$71</definedName>
    <definedName name="_C900338">'Schedule_G'!$F$72</definedName>
    <definedName name="_C900339">'Schedule_G'!$F$73</definedName>
    <definedName name="_C900340">'Schedule_G'!$F$330</definedName>
    <definedName name="_C900349">'Schedule_G'!$F$75</definedName>
    <definedName name="_C900350">'Schedule_G'!$F$76</definedName>
    <definedName name="_C900351">'Schedule_G'!$G$62</definedName>
    <definedName name="_C900352">'Schedule_G'!$G$63</definedName>
    <definedName name="_C900353">'Schedule_G'!$G$64</definedName>
    <definedName name="_C900354">'Schedule_G'!$G$65</definedName>
    <definedName name="_C900355">'Schedule_G'!$G$69</definedName>
    <definedName name="_C900356">'Schedule_G'!$G$70</definedName>
    <definedName name="_C900357">'Schedule_G'!$G$71</definedName>
    <definedName name="_C900358">'Schedule_G'!$G$72</definedName>
    <definedName name="_C900359">'Schedule_G'!$G$73</definedName>
    <definedName name="_C900360">'Schedule_G'!$G$330</definedName>
    <definedName name="_C900369">'Schedule_G'!$G$75</definedName>
    <definedName name="_C900370">'Schedule_G'!$G$76</definedName>
    <definedName name="_C900371">'Schedule_G'!$H$62</definedName>
    <definedName name="_C900372">'Schedule_G'!$H$63</definedName>
    <definedName name="_C900373">'Schedule_G'!$H$64</definedName>
    <definedName name="_C900374">'Schedule_G'!$H$65</definedName>
    <definedName name="_C900375">'Schedule_G'!$H$69</definedName>
    <definedName name="_C900376">'Schedule_G'!$H$70</definedName>
    <definedName name="_C900377">'Schedule_G'!$H$71</definedName>
    <definedName name="_C900378">'Schedule_G'!$H$72</definedName>
    <definedName name="_C900379">'Schedule_G'!$H$73</definedName>
    <definedName name="_C900380">'Schedule_G'!$H$330</definedName>
    <definedName name="_C900389">'Schedule_G'!$H$75</definedName>
    <definedName name="_C900390">'Schedule_G'!$H$76</definedName>
    <definedName name="_C900391">'Schedule_G'!$F$77</definedName>
    <definedName name="_C900392">'Schedule_G'!$F$78</definedName>
    <definedName name="_C900394">'Schedule_G'!$F$79</definedName>
    <definedName name="_C900395">'Schedule_G'!$G$77</definedName>
    <definedName name="_C900396">'Schedule_G'!$G$78</definedName>
    <definedName name="_C900397">'Schedule_G'!$G$124</definedName>
    <definedName name="_C900398">'Schedule_G'!$G$79</definedName>
    <definedName name="_C900399">'Schedule_G'!$H$77</definedName>
    <definedName name="_C900400">'Schedule_G'!$H$78</definedName>
    <definedName name="_C900401">'Schedule_G'!$H$124</definedName>
    <definedName name="_C900402">'Schedule_G'!$H$79</definedName>
    <definedName name="_C900403">'Schedule_G'!$F$81</definedName>
    <definedName name="_C900404">'Schedule_G'!$F$82</definedName>
    <definedName name="_C900405">'Schedule_G'!$F$83</definedName>
    <definedName name="_C900406">'Schedule_G'!$F$84</definedName>
    <definedName name="_C900407">'Schedule_G'!$F$88</definedName>
    <definedName name="_C900408">'Schedule_G'!$F$89</definedName>
    <definedName name="_C900409">'Schedule_G'!$F$90</definedName>
    <definedName name="_C900410">'Schedule_G'!$F$91</definedName>
    <definedName name="_C900411">'Schedule_G'!$F$92</definedName>
    <definedName name="_C900412">'Schedule_G'!$F$333</definedName>
    <definedName name="_C900421">'Schedule_G'!$F$104</definedName>
    <definedName name="_C900422">'Schedule_G'!$F$105</definedName>
    <definedName name="_C900423">'Schedule_G'!$G$81</definedName>
    <definedName name="_C900424">'Schedule_G'!$G$82</definedName>
    <definedName name="_C900425">'Schedule_G'!$G$83</definedName>
    <definedName name="_C900426">'Schedule_G'!$G$84</definedName>
    <definedName name="_C900427">'Schedule_G'!$G$88</definedName>
    <definedName name="_C900428">'Schedule_G'!$G$89</definedName>
    <definedName name="_C900429">'Schedule_G'!$G$90</definedName>
    <definedName name="_C900430">'Schedule_G'!$G$91</definedName>
    <definedName name="_C900431">'Schedule_G'!$G$92</definedName>
    <definedName name="_C900432">'Schedule_G'!$G$333</definedName>
    <definedName name="_C900441">'Schedule_G'!$G$104</definedName>
    <definedName name="_C900442">'Schedule_G'!$G$105</definedName>
    <definedName name="_C900443">'Schedule_G'!$H$81</definedName>
    <definedName name="_C900444">'Schedule_G'!$H$82</definedName>
    <definedName name="_C900445">'Schedule_G'!$H$83</definedName>
    <definedName name="_C900446">'Schedule_G'!$H$84</definedName>
    <definedName name="_C900447">'Schedule_G'!$H$88</definedName>
    <definedName name="_C900448">'Schedule_G'!$H$89</definedName>
    <definedName name="_C900449">'Schedule_G'!$H$90</definedName>
    <definedName name="_C900450">'Schedule_G'!$H$91</definedName>
    <definedName name="_C900451">'Schedule_G'!$H$92</definedName>
    <definedName name="_C900452">'Schedule_G'!$H$333</definedName>
    <definedName name="_C900461">'Schedule_G'!$H$104</definedName>
    <definedName name="_C900462">'Schedule_G'!$H$105</definedName>
    <definedName name="_C900463">'Schedule_G'!$F$107</definedName>
    <definedName name="_C900464">'Schedule_G'!$F$108</definedName>
    <definedName name="_C900465">'Schedule_G'!$F$109</definedName>
    <definedName name="_C900466">'Schedule_G'!$F$110</definedName>
    <definedName name="_C900467">'Schedule_G'!$F$114</definedName>
    <definedName name="_C900468">'Schedule_G'!$F$115</definedName>
    <definedName name="_C900469">'Schedule_G'!$F$116</definedName>
    <definedName name="_C900470">'Schedule_G'!$F$117</definedName>
    <definedName name="_C900471">'Schedule_G'!$F$118</definedName>
    <definedName name="_C900472">'Schedule_G'!$F$334</definedName>
    <definedName name="_C900481">'Schedule_G'!$F$120</definedName>
    <definedName name="_C900482">'Schedule_G'!$F$121</definedName>
    <definedName name="_C900483">'Schedule_G'!$G$107</definedName>
    <definedName name="_C900484">'Schedule_G'!$G$108</definedName>
    <definedName name="_C900485">'Schedule_G'!$G$109</definedName>
    <definedName name="_C900486">'Schedule_G'!$G$110</definedName>
    <definedName name="_C900487">'Schedule_G'!$G$114</definedName>
    <definedName name="_C900488">'Schedule_G'!$G$115</definedName>
    <definedName name="_C900489">'Schedule_G'!$G$116</definedName>
    <definedName name="_C900490">'Schedule_G'!$G$117</definedName>
    <definedName name="_C900491">'Schedule_G'!$G$118</definedName>
    <definedName name="_C900492">'Schedule_G'!$G$334</definedName>
    <definedName name="_C900501">'Schedule_G'!$G$120</definedName>
    <definedName name="_C900502">'Schedule_G'!$G$121</definedName>
    <definedName name="_C900503">'Schedule_G'!$H$107</definedName>
    <definedName name="_C900504">'Schedule_G'!$H$108</definedName>
    <definedName name="_C900505">'Schedule_G'!$H$109</definedName>
    <definedName name="_C900506">'Schedule_G'!$H$110</definedName>
    <definedName name="_C900507">'Schedule_G'!$H$114</definedName>
    <definedName name="_C900508">'Schedule_G'!$H$115</definedName>
    <definedName name="_C900509">'Schedule_G'!$H$116</definedName>
    <definedName name="_C900510">'Schedule_G'!$H$117</definedName>
    <definedName name="_C900511">'Schedule_G'!$H$118</definedName>
    <definedName name="_C900512">'Schedule_G'!$H$334</definedName>
    <definedName name="_C900521">'Schedule_G'!$H$120</definedName>
    <definedName name="_C900522">'Schedule_G'!$H$121</definedName>
    <definedName name="_C900523">'Schedule_G'!$F$122</definedName>
    <definedName name="_C900526">'Schedule_G'!$G$122</definedName>
    <definedName name="_C900529">'Schedule_G'!$H$122</definedName>
    <definedName name="_C900532">'Schedule_G'!$F$125</definedName>
    <definedName name="_C900533">'Schedule_G'!$F$126</definedName>
    <definedName name="_C900534">'Schedule_G'!$F$127</definedName>
    <definedName name="_C900535">'Schedule_G'!$G$125</definedName>
    <definedName name="_C900536">'Schedule_G'!$G$126</definedName>
    <definedName name="_C900537">'Schedule_G'!$G$127</definedName>
    <definedName name="_C900538">'Schedule_G'!$H$125</definedName>
    <definedName name="_C900539">'Schedule_G'!$H$126</definedName>
    <definedName name="_C900540">'Schedule_G'!$H$127</definedName>
    <definedName name="_C900541">'Schedule_G'!$F$159</definedName>
    <definedName name="_C900542">'Schedule_G'!$F$160</definedName>
    <definedName name="_C900543">'Schedule_G'!$F$161</definedName>
    <definedName name="_C900544">'Schedule_G'!$F$162</definedName>
    <definedName name="_C900545">'Schedule_G'!$F$163</definedName>
    <definedName name="_C900546">'Schedule_G'!$F$164</definedName>
    <definedName name="_C900547">'Schedule_G'!$F$165</definedName>
    <definedName name="_C900548">'Schedule_G'!$F$166</definedName>
    <definedName name="_C900549">'Schedule_G'!$G$159</definedName>
    <definedName name="_C900550">'Schedule_G'!$G$160</definedName>
    <definedName name="_C900551">'Schedule_G'!$G$161</definedName>
    <definedName name="_C900552">'Schedule_G'!$G$162</definedName>
    <definedName name="_C900553">'Schedule_G'!$G$163</definedName>
    <definedName name="_C900554">'Schedule_G'!$G$164</definedName>
    <definedName name="_C900555">'Schedule_G'!$G$165</definedName>
    <definedName name="_C900556">'Schedule_G'!$G$166</definedName>
    <definedName name="_C900557">'Schedule_G'!$H$159</definedName>
    <definedName name="_C900558">'Schedule_G'!$H$160</definedName>
    <definedName name="_C900559">'Schedule_G'!$H$161</definedName>
    <definedName name="_C900560">'Schedule_G'!$H$162</definedName>
    <definedName name="_C900561">'Schedule_G'!$H$163</definedName>
    <definedName name="_C900562">'Schedule_G'!$H$164</definedName>
    <definedName name="_C900563">'Schedule_G'!$H$165</definedName>
    <definedName name="_C900564">'Schedule_G'!$H$166</definedName>
    <definedName name="_C900565">'Schedule_G'!$F$167</definedName>
    <definedName name="_C900566">'Schedule_G'!$F$169</definedName>
    <definedName name="_C900567">'Schedule_G'!$F$171</definedName>
    <definedName name="_C900568">'Schedule_G'!$F$172</definedName>
    <definedName name="_C900569">'Schedule_G'!$F$173</definedName>
    <definedName name="_C900570">'Schedule_G'!$G$167</definedName>
    <definedName name="_C900571">'Schedule_G'!$G$169</definedName>
    <definedName name="_C900572">'Schedule_G'!$G$171</definedName>
    <definedName name="_C900573">'Schedule_G'!$G$172</definedName>
    <definedName name="_C900574">'Schedule_G'!$G$173</definedName>
    <definedName name="_C900575">'Schedule_G'!$H$167</definedName>
    <definedName name="_C900576">'Schedule_G'!$H$169</definedName>
    <definedName name="_C900577">'Schedule_G'!$H$171</definedName>
    <definedName name="_C900578">'Schedule_G'!$H$172</definedName>
    <definedName name="_C900579">'Schedule_G'!$H$173</definedName>
    <definedName name="_C900580">'Schedule_G'!$F$175</definedName>
    <definedName name="_C900581">'Schedule_G'!$F$176</definedName>
    <definedName name="_C900582">'Schedule_G'!$F$177</definedName>
    <definedName name="_C900583">'Schedule_G'!$F$178</definedName>
    <definedName name="_C900584">'Schedule_G'!$F$179</definedName>
    <definedName name="_C900585">'Schedule_G'!$F$180</definedName>
    <definedName name="_C900586">'Schedule_G'!$F$181</definedName>
    <definedName name="_C900587">'Schedule_G'!$F$182</definedName>
    <definedName name="_C900588">'Schedule_G'!$G$175</definedName>
    <definedName name="_C900589">'Schedule_G'!$G$176</definedName>
    <definedName name="_C900590">'Schedule_G'!$G$177</definedName>
    <definedName name="_C900591">'Schedule_G'!$G$178</definedName>
    <definedName name="_C900592">'Schedule_G'!$G$179</definedName>
    <definedName name="_C900593">'Schedule_G'!$G$180</definedName>
    <definedName name="_C900594">'Schedule_G'!$G$181</definedName>
    <definedName name="_C900595">'Schedule_G'!$G$182</definedName>
    <definedName name="_C900596">'Schedule_G'!$H$175</definedName>
    <definedName name="_C900597">'Schedule_G'!$H$176</definedName>
    <definedName name="_C900598">'Schedule_G'!$H$177</definedName>
    <definedName name="_C900599">'Schedule_G'!$H$178</definedName>
    <definedName name="_C900600">'Schedule_G'!$H$179</definedName>
    <definedName name="_C900601">'Schedule_G'!$H$180</definedName>
    <definedName name="_C900602">'Schedule_G'!$H$181</definedName>
    <definedName name="_C900603">'Schedule_G'!$H$182</definedName>
    <definedName name="_C900604">'Schedule_G'!$F$195</definedName>
    <definedName name="_C900605">'Schedule_G'!$F$196</definedName>
    <definedName name="_C900606">'Schedule_G'!$F$197</definedName>
    <definedName name="_C900607">'Schedule_G'!$F$198</definedName>
    <definedName name="_C900608">'Schedule_G'!$F$199</definedName>
    <definedName name="_C900609">'Schedule_G'!$F$200</definedName>
    <definedName name="_C900610">'Schedule_G'!$F$201</definedName>
    <definedName name="_C900611">'Schedule_G'!$F$205</definedName>
    <definedName name="_C900612">'Schedule_G'!$G$195</definedName>
    <definedName name="_C900613">'Schedule_G'!$G$196</definedName>
    <definedName name="_C900614">'Schedule_G'!$G$197</definedName>
    <definedName name="_C900615">'Schedule_G'!$G$198</definedName>
    <definedName name="_C900616">'Schedule_G'!$G$199</definedName>
    <definedName name="_C900617">'Schedule_G'!$G$200</definedName>
    <definedName name="_C900618">'Schedule_G'!$G$201</definedName>
    <definedName name="_C900619">'Schedule_G'!$G$205</definedName>
    <definedName name="_C900620">'Schedule_G'!$H$195</definedName>
    <definedName name="_C900621">'Schedule_G'!$H$196</definedName>
    <definedName name="_C900622">'Schedule_G'!$H$197</definedName>
    <definedName name="_C900623">'Schedule_G'!$H$198</definedName>
    <definedName name="_C900624">'Schedule_G'!$H$199</definedName>
    <definedName name="_C900625">'Schedule_G'!$H$200</definedName>
    <definedName name="_C900626">'Schedule_G'!$H$201</definedName>
    <definedName name="_C900627">'Schedule_G'!$H$205</definedName>
    <definedName name="_C900628">'Schedule_G'!$F$204</definedName>
    <definedName name="_C900629">'Schedule_G'!$F$203</definedName>
    <definedName name="_C900630">'Schedule_G'!$F$207</definedName>
    <definedName name="_C900631">'Schedule_G'!$F$208</definedName>
    <definedName name="_C900632">'Schedule_G'!$F$209</definedName>
    <definedName name="_C900633">'Schedule_G'!$F$210</definedName>
    <definedName name="_C900634">'Schedule_G'!$F$211</definedName>
    <definedName name="_C900635">'Schedule_G'!$F$212</definedName>
    <definedName name="_C900636">'Schedule_G'!$F$213</definedName>
    <definedName name="_C900637">'Schedule_G'!$F$215</definedName>
    <definedName name="_C900638">'Schedule_G'!$F$216</definedName>
    <definedName name="_C900639">'Schedule_G'!$F$217</definedName>
    <definedName name="_C900640">'Schedule_G'!$F$218</definedName>
    <definedName name="_C900641">'Schedule_G'!$F$220</definedName>
    <definedName name="_C900642">'Schedule_G'!$F$221</definedName>
    <definedName name="_C900644">'Schedule_G'!$F$223</definedName>
    <definedName name="_C900645">'Schedule_G'!$G$204</definedName>
    <definedName name="_C900646">'Schedule_G'!$G$203</definedName>
    <definedName name="_C900647">'Schedule_G'!$G$207</definedName>
    <definedName name="_C900648">'Schedule_G'!$G$208</definedName>
    <definedName name="_C900649">'Schedule_G'!$G$209</definedName>
    <definedName name="_C900650">'Schedule_G'!$G$210</definedName>
    <definedName name="_C900651">'Schedule_G'!$G$211</definedName>
    <definedName name="_C900652">'Schedule_G'!$G$212</definedName>
    <definedName name="_C900653">'Schedule_G'!$G$213</definedName>
    <definedName name="_C900654">'Schedule_G'!$G$215</definedName>
    <definedName name="_C900655">'Schedule_G'!$G$216</definedName>
    <definedName name="_C900656">'Schedule_G'!$G$217</definedName>
    <definedName name="_C900657">'Schedule_G'!$G$218</definedName>
    <definedName name="_C900658">'Schedule_G'!$G$220</definedName>
    <definedName name="_C900659">'Schedule_G'!$G$221</definedName>
    <definedName name="_C900661">'Schedule_G'!$G$223</definedName>
    <definedName name="_C900662">'Schedule_G'!$H$204</definedName>
    <definedName name="_C900663">'Schedule_G'!$H$203</definedName>
    <definedName name="_C900664">'Schedule_G'!$H$207</definedName>
    <definedName name="_C900665">'Schedule_G'!$H$208</definedName>
    <definedName name="_C900666">'Schedule_G'!$H$209</definedName>
    <definedName name="_C900667">'Schedule_G'!$H$210</definedName>
    <definedName name="_C900668">'Schedule_G'!$H$211</definedName>
    <definedName name="_C900669">'Schedule_G'!$H$212</definedName>
    <definedName name="_C900670">'Schedule_G'!$H$213</definedName>
    <definedName name="_C900671">'Schedule_G'!$H$215</definedName>
    <definedName name="_C900672">'Schedule_G'!$H$216</definedName>
    <definedName name="_C900673">'Schedule_G'!$H$217</definedName>
    <definedName name="_C900674">'Schedule_G'!$H$218</definedName>
    <definedName name="_C900675">'Schedule_G'!$H$220</definedName>
    <definedName name="_C900676">'Schedule_G'!$H$221</definedName>
    <definedName name="_C900678">'Schedule_G'!$H$223</definedName>
    <definedName name="_C900679">'Schedule_G'!$F$236</definedName>
    <definedName name="_C900680">'Schedule_G'!$F$237</definedName>
    <definedName name="_C900681">'Schedule_G'!$F$238</definedName>
    <definedName name="_C900682">'Schedule_G'!$F$239</definedName>
    <definedName name="_C900683">'Schedule_G'!$F$240</definedName>
    <definedName name="_C900684">'Schedule_G'!$F$241</definedName>
    <definedName name="_C900685">'Schedule_G'!$F$242</definedName>
    <definedName name="_C900686">'Schedule_G'!$F$243</definedName>
    <definedName name="_C900687">'Schedule_G'!$G$236</definedName>
    <definedName name="_C900688">'Schedule_G'!$G$237</definedName>
    <definedName name="_C900689">'Schedule_G'!$G$238</definedName>
    <definedName name="_C900690">'Schedule_G'!$G$239</definedName>
    <definedName name="_C900691">'Schedule_G'!$G$240</definedName>
    <definedName name="_C900692">'Schedule_G'!$G$241</definedName>
    <definedName name="_C900693">'Schedule_G'!$G$242</definedName>
    <definedName name="_C900694">'Schedule_G'!$G$243</definedName>
    <definedName name="_C900695">'Schedule_G'!$H$236</definedName>
    <definedName name="_C900696">'Schedule_G'!$H$237</definedName>
    <definedName name="_C900697">'Schedule_G'!$H$238</definedName>
    <definedName name="_C900698">'Schedule_G'!$H$239</definedName>
    <definedName name="_C900699">'Schedule_G'!$H$240</definedName>
    <definedName name="_C900700">'Schedule_G'!$H$241</definedName>
    <definedName name="_C900701">'Schedule_G'!$H$242</definedName>
    <definedName name="_C900702">'Schedule_G'!$H$243</definedName>
    <definedName name="_C900703">'Schedule_G'!$F$129</definedName>
    <definedName name="_C900704">'Schedule_G'!$F$130</definedName>
    <definedName name="_C900705">'Schedule_G'!$F$131</definedName>
    <definedName name="_C900706">'Schedule_G'!$F$132</definedName>
    <definedName name="_C900707">'Schedule_G'!$F$133</definedName>
    <definedName name="_C900708">'Schedule_G'!$F$134</definedName>
    <definedName name="_C900709">'Schedule_G'!$F$135</definedName>
    <definedName name="_C900710">'Schedule_G'!$F$136</definedName>
    <definedName name="_C900711">'Schedule_G'!$G$129</definedName>
    <definedName name="_C900712">'Schedule_G'!$G$130</definedName>
    <definedName name="_C900713">'Schedule_G'!$G$131</definedName>
    <definedName name="_C900714">'Schedule_G'!$G$132</definedName>
    <definedName name="_C900715">'Schedule_G'!$G$133</definedName>
    <definedName name="_C900716">'Schedule_G'!$G$134</definedName>
    <definedName name="_C900717">'Schedule_G'!$G$135</definedName>
    <definedName name="_C900718">'Schedule_G'!$G$136</definedName>
    <definedName name="_C900719">'Schedule_G'!$H$129</definedName>
    <definedName name="_C900720">'Schedule_G'!$H$130</definedName>
    <definedName name="_C900721">'Schedule_G'!$H$131</definedName>
    <definedName name="_C900722">'Schedule_G'!$H$132</definedName>
    <definedName name="_C900723">'Schedule_G'!$H$133</definedName>
    <definedName name="_C900724">'Schedule_G'!$H$134</definedName>
    <definedName name="_C900725">'Schedule_G'!$H$135</definedName>
    <definedName name="_C900726">'Schedule_G'!$H$136</definedName>
    <definedName name="_C900727">'Schedule_G'!$F$245</definedName>
    <definedName name="_C900728">'Schedule_G'!$F$246</definedName>
    <definedName name="_C900729">'Schedule_G'!$F$247</definedName>
    <definedName name="_C900730">'Schedule_G'!$F$248</definedName>
    <definedName name="_C900731">'Schedule_G'!$F$249</definedName>
    <definedName name="_C900732">'Schedule_G'!$F$250</definedName>
    <definedName name="_C900733">'Schedule_G'!$F$251</definedName>
    <definedName name="_C900734">'Schedule_G'!$F$252</definedName>
    <definedName name="_C900735">'Schedule_G'!$G$245</definedName>
    <definedName name="_C900736">'Schedule_G'!$G$246</definedName>
    <definedName name="_C900737">'Schedule_G'!$G$247</definedName>
    <definedName name="_C900738">'Schedule_G'!$G$248</definedName>
    <definedName name="_C900739">'Schedule_G'!$G$249</definedName>
    <definedName name="_C900740">'Schedule_G'!$G$250</definedName>
    <definedName name="_C900741">'Schedule_G'!$G$251</definedName>
    <definedName name="_C900742">'Schedule_G'!$G$252</definedName>
    <definedName name="_C900743">'Schedule_G'!$H$245</definedName>
    <definedName name="_C900744">'Schedule_G'!$H$246</definedName>
    <definedName name="_C900745">'Schedule_G'!$H$247</definedName>
    <definedName name="_C900746">'Schedule_G'!$H$248</definedName>
    <definedName name="_C900747">'Schedule_G'!$H$249</definedName>
    <definedName name="_C900748">'Schedule_G'!$H$250</definedName>
    <definedName name="_C900749">'Schedule_G'!$H$251</definedName>
    <definedName name="_C900750">'Schedule_G'!$H$252</definedName>
    <definedName name="_C900751">'Schedule_G'!$F$138</definedName>
    <definedName name="_C900752">'Schedule_G'!$F$139</definedName>
    <definedName name="_C900753">'Schedule_G'!$F$140</definedName>
    <definedName name="_C900754">'Schedule_G'!$F$141</definedName>
    <definedName name="_C900755">'Schedule_G'!$F$142</definedName>
    <definedName name="_C900756">'Schedule_G'!$F$143</definedName>
    <definedName name="_C900757">'Schedule_G'!$F$144</definedName>
    <definedName name="_C900758">'Schedule_G'!$F$145</definedName>
    <definedName name="_C900759">'Schedule_G'!$G$138</definedName>
    <definedName name="_C900760">'Schedule_G'!$G$139</definedName>
    <definedName name="_C900761">'Schedule_G'!$G$140</definedName>
    <definedName name="_C900762">'Schedule_G'!$G$141</definedName>
    <definedName name="_C900763">'Schedule_G'!$G$142</definedName>
    <definedName name="_C900764">'Schedule_G'!$G$143</definedName>
    <definedName name="_C900765">'Schedule_G'!$G$144</definedName>
    <definedName name="_C900766">'Schedule_G'!$G$145</definedName>
    <definedName name="_C900767">'Schedule_G'!$H$138</definedName>
    <definedName name="_C900768">'Schedule_G'!$H$139</definedName>
    <definedName name="_C900769">'Schedule_G'!$H$140</definedName>
    <definedName name="_C900770">'Schedule_G'!$H$141</definedName>
    <definedName name="_C900771">'Schedule_G'!$H$142</definedName>
    <definedName name="_C900772">'Schedule_G'!$H$143</definedName>
    <definedName name="_C900773">'Schedule_G'!$H$144</definedName>
    <definedName name="_C900774">'Schedule_G'!$H$145</definedName>
    <definedName name="_C900775">'Schedule_G'!$F$254</definedName>
    <definedName name="_C900776">'Schedule_G'!$F$255</definedName>
    <definedName name="_C900777">'Schedule_G'!$F$256</definedName>
    <definedName name="_C900778">'Schedule_G'!$F$257</definedName>
    <definedName name="_C900779">'Schedule_G'!$F$258</definedName>
    <definedName name="_C900780">'Schedule_G'!$F$259</definedName>
    <definedName name="_C900781">'Schedule_G'!$F$260</definedName>
    <definedName name="_C900782">'Schedule_G'!$F$261</definedName>
    <definedName name="_C900783">'Schedule_G'!$F$262</definedName>
    <definedName name="_C900786">'Schedule_G'!$G$254</definedName>
    <definedName name="_C900787">'Schedule_G'!$G$255</definedName>
    <definedName name="_C900788">'Schedule_G'!$G$256</definedName>
    <definedName name="_C900789">'Schedule_G'!$G$257</definedName>
    <definedName name="_C900790">'Schedule_G'!$G$258</definedName>
    <definedName name="_C900791">'Schedule_G'!$G$259</definedName>
    <definedName name="_C900792">'Schedule_G'!$G$260</definedName>
    <definedName name="_C900793">'Schedule_G'!$G$261</definedName>
    <definedName name="_C900794">'Schedule_G'!$G$262</definedName>
    <definedName name="_C900797">'Schedule_G'!$H$254</definedName>
    <definedName name="_C900798">'Schedule_G'!$H$255</definedName>
    <definedName name="_C900799">'Schedule_G'!$H$256</definedName>
    <definedName name="_C900800">'Schedule_G'!$H$257</definedName>
    <definedName name="_C900801">'Schedule_G'!$H$258</definedName>
    <definedName name="_C900802">'Schedule_G'!$H$259</definedName>
    <definedName name="_C900803">'Schedule_G'!$H$260</definedName>
    <definedName name="_C900804">'Schedule_G'!$H$261</definedName>
    <definedName name="_C900805">'Schedule_G'!$H$262</definedName>
    <definedName name="_C900808">'Schedule_G'!$F$298</definedName>
    <definedName name="_C900809">'Schedule_G'!$F$299</definedName>
    <definedName name="_C900810">'Schedule_G'!$F$300</definedName>
    <definedName name="_C900811">'Schedule_G'!$F$301</definedName>
    <definedName name="_C900812">'Schedule_G'!$F$302</definedName>
    <definedName name="_C900813">'Schedule_G'!$F$303</definedName>
    <definedName name="_C900814">'Schedule_G'!$F$304</definedName>
    <definedName name="_C900815">'Schedule_G'!$G$298</definedName>
    <definedName name="_C900816">'Schedule_G'!$G$299</definedName>
    <definedName name="_C900817">'Schedule_G'!$G$300</definedName>
    <definedName name="_C900818">'Schedule_G'!$G$301</definedName>
    <definedName name="_C900819">'Schedule_G'!$G$302</definedName>
    <definedName name="_C900820">'Schedule_G'!$G$303</definedName>
    <definedName name="_C900821">'Schedule_G'!$G$304</definedName>
    <definedName name="_C900822">'Schedule_G'!$H$298</definedName>
    <definedName name="_C900823">'Schedule_G'!$H$299</definedName>
    <definedName name="_C900824">'Schedule_G'!$H$300</definedName>
    <definedName name="_C900825">'Schedule_G'!$H$301</definedName>
    <definedName name="_C900826">'Schedule_G'!$H$302</definedName>
    <definedName name="_C900827">'Schedule_G'!$H$303</definedName>
    <definedName name="_C900828">'Schedule_G'!$H$304</definedName>
    <definedName name="_C900829">'Schedule_G'!$F$306</definedName>
    <definedName name="_C900830">'Schedule_G'!$F$307</definedName>
    <definedName name="_C900831">'Schedule_G'!$F$308</definedName>
    <definedName name="_C900832">'Schedule_G'!$F$309</definedName>
    <definedName name="_C900833">'Schedule_G'!$F$310</definedName>
    <definedName name="_C900834">'Schedule_G'!$F$311</definedName>
    <definedName name="_C900835">'Schedule_G'!$F$312</definedName>
    <definedName name="_C900836">'Schedule_G'!$G$306</definedName>
    <definedName name="_C900837">'Schedule_G'!$G$307</definedName>
    <definedName name="_C900838">'Schedule_G'!$G$308</definedName>
    <definedName name="_C900839">'Schedule_G'!$G$309</definedName>
    <definedName name="_C900840">'Schedule_G'!$G$310</definedName>
    <definedName name="_C900841">'Schedule_G'!$G$311</definedName>
    <definedName name="_C900842">'Schedule_G'!$G$312</definedName>
    <definedName name="_C900843">'Schedule_G'!$H$306</definedName>
    <definedName name="_C900844">'Schedule_G'!$H$307</definedName>
    <definedName name="_C900845">'Schedule_G'!$H$308</definedName>
    <definedName name="_C900846">'Schedule_G'!$H$309</definedName>
    <definedName name="_C900847">'Schedule_G'!$H$310</definedName>
    <definedName name="_C900848">'Schedule_G'!$H$311</definedName>
    <definedName name="_C900849">'Schedule_G'!$H$312</definedName>
    <definedName name="_C900850">'Schedule_G'!$F$314</definedName>
    <definedName name="_C900851">'Schedule_G'!$F$315</definedName>
    <definedName name="_C900852">'Schedule_G'!$F$316</definedName>
    <definedName name="_C900853">'Schedule_G'!$F$317</definedName>
    <definedName name="_C900854">'Schedule_G'!$F$318</definedName>
    <definedName name="_C900855">'Schedule_G'!$F$319</definedName>
    <definedName name="_C900856">'Schedule_G'!$F$320</definedName>
    <definedName name="_C900857">'Schedule_G'!$G$314</definedName>
    <definedName name="_C900858">'Schedule_G'!$G$315</definedName>
    <definedName name="_C900859">'Schedule_G'!$G$316</definedName>
    <definedName name="_C900860">'Schedule_G'!$G$317</definedName>
    <definedName name="_C900861">'Schedule_G'!$G$318</definedName>
    <definedName name="_C900862">'Schedule_G'!$G$319</definedName>
    <definedName name="_C900863">'Schedule_G'!$G$320</definedName>
    <definedName name="_C900864">'Schedule_G'!$H$314</definedName>
    <definedName name="_C900865">'Schedule_G'!$H$315</definedName>
    <definedName name="_C900866">'Schedule_G'!$H$316</definedName>
    <definedName name="_C900867">'Schedule_G'!$H$317</definedName>
    <definedName name="_C900868">'Schedule_G'!$H$318</definedName>
    <definedName name="_C900869">'Schedule_G'!$H$319</definedName>
    <definedName name="_C900870">'Schedule_G'!$H$320</definedName>
    <definedName name="_C900871">'Schedule_G'!$F$322</definedName>
    <definedName name="_C900872">'Schedule_G'!$F$323</definedName>
    <definedName name="_C900873">'Schedule_G'!$F$324</definedName>
    <definedName name="_C900874">'Schedule_G'!$F$325</definedName>
    <definedName name="_C900875">'Schedule_G'!$F$326</definedName>
    <definedName name="_C900876">'Schedule_G'!$F$327</definedName>
    <definedName name="_C900877">'Schedule_G'!$F$328</definedName>
    <definedName name="_C900878">'Schedule_G'!$G$322</definedName>
    <definedName name="_C900879">'Schedule_G'!$G$323</definedName>
    <definedName name="_C900880">'Schedule_G'!$G$324</definedName>
    <definedName name="_C900881">'Schedule_G'!$G$325</definedName>
    <definedName name="_C900882">'Schedule_G'!$G$326</definedName>
    <definedName name="_C900883">'Schedule_G'!$G$327</definedName>
    <definedName name="_C900884">'Schedule_G'!$G$328</definedName>
    <definedName name="_C900885">'Schedule_G'!$H$322</definedName>
    <definedName name="_C900886">'Schedule_G'!$H$323</definedName>
    <definedName name="_C900887">'Schedule_G'!$H$324</definedName>
    <definedName name="_C900888">'Schedule_G'!$H$325</definedName>
    <definedName name="_C900889">'Schedule_G'!$H$326</definedName>
    <definedName name="_C900890">'Schedule_G'!$H$327</definedName>
    <definedName name="_C900891">'Schedule_G'!$H$328</definedName>
    <definedName name="_C900892">'Schedule_G'!$F$338</definedName>
    <definedName name="_C900893">'Schedule_G'!$F$339</definedName>
    <definedName name="_C900894">'Schedule_G'!$F$340</definedName>
    <definedName name="_C900895">'Schedule_G'!$F$341</definedName>
    <definedName name="_C900896">'Schedule_G'!$F$342</definedName>
    <definedName name="_C900897">'Schedule_G'!$F$343</definedName>
    <definedName name="_C900898">'Schedule_G'!$F$344</definedName>
    <definedName name="_C900899">'Schedule_G'!$F$345</definedName>
    <definedName name="_C900900">'Schedule_G'!$G$338</definedName>
    <definedName name="_C900901">'Schedule_G'!$G$339</definedName>
    <definedName name="_C900902">'Schedule_G'!$G$340</definedName>
    <definedName name="_C900903">'Schedule_G'!$G$341</definedName>
    <definedName name="_C900904">'Schedule_G'!$G$342</definedName>
    <definedName name="_C900905">'Schedule_G'!$G$343</definedName>
    <definedName name="_C900906">'Schedule_G'!$G$344</definedName>
    <definedName name="_C900907">'Schedule_G'!$G$345</definedName>
    <definedName name="_C900908">'Schedule_G'!$H$338</definedName>
    <definedName name="_C900909">'Schedule_G'!$H$339</definedName>
    <definedName name="_C900910">'Schedule_G'!$H$340</definedName>
    <definedName name="_C900911">'Schedule_G'!$H$341</definedName>
    <definedName name="_C900912">'Schedule_G'!$H$342</definedName>
    <definedName name="_C900913">'Schedule_G'!$H$343</definedName>
    <definedName name="_C900914">'Schedule_G'!$H$344</definedName>
    <definedName name="_C900915">'Schedule_G'!$H$345</definedName>
    <definedName name="_C900916">'Schedule_G'!$F$357</definedName>
    <definedName name="_C900917">'Schedule_G'!$F$358</definedName>
    <definedName name="_C900918">'Schedule_G'!$F$359</definedName>
    <definedName name="_C900919">'Schedule_G'!$F$360</definedName>
    <definedName name="_C900920">'Schedule_G'!$F$361</definedName>
    <definedName name="_C900921">'Schedule_G'!$F$362</definedName>
    <definedName name="_C900922">'Schedule_G'!$F$363</definedName>
    <definedName name="_C900923">'Schedule_G'!$G$357</definedName>
    <definedName name="_C900924">'Schedule_G'!$G$358</definedName>
    <definedName name="_C900925">'Schedule_G'!$G$359</definedName>
    <definedName name="_C900926">'Schedule_G'!$G$360</definedName>
    <definedName name="_C900927">'Schedule_G'!$G$361</definedName>
    <definedName name="_C900928">'Schedule_G'!$G$362</definedName>
    <definedName name="_C900929">'Schedule_G'!$G$363</definedName>
    <definedName name="_C900930">'Schedule_G'!$H$357</definedName>
    <definedName name="_C900931">'Schedule_G'!$H$358</definedName>
    <definedName name="_C900932">'Schedule_G'!$H$359</definedName>
    <definedName name="_C900933">'Schedule_G'!$H$360</definedName>
    <definedName name="_C900934">'Schedule_G'!$H$361</definedName>
    <definedName name="_C900935">'Schedule_G'!$H$362</definedName>
    <definedName name="_C900936">'Schedule_G'!$H$363</definedName>
    <definedName name="_C900937">'Schedule_G'!$F$364</definedName>
    <definedName name="_C900938">'Schedule_G'!$F$367</definedName>
    <definedName name="_C900939">'Schedule_G'!$F$368</definedName>
    <definedName name="_C900940">'Schedule_G'!$F$369</definedName>
    <definedName name="_C900941">'Schedule_G'!$F$370</definedName>
    <definedName name="_C900942">'Schedule_G'!$F$371</definedName>
    <definedName name="_C900943">'Schedule_G'!$F$372</definedName>
    <definedName name="_C900944">'Schedule_G'!$F$373</definedName>
    <definedName name="_C900945">'Schedule_G'!$F$374</definedName>
    <definedName name="_C900946">'Schedule_G'!$F$375</definedName>
    <definedName name="_C900947">'Schedule_G'!$F$376</definedName>
    <definedName name="_C900948">'Schedule_G'!$F$377</definedName>
    <definedName name="_C900949">'Schedule_G'!$F$378</definedName>
    <definedName name="_C900950">'Schedule_G'!$F$379</definedName>
    <definedName name="_C900951">'Schedule_G'!$F$380</definedName>
    <definedName name="_C900952">'Schedule_G'!$F$381</definedName>
    <definedName name="_C900953">'Schedule_G'!$F$382</definedName>
    <definedName name="_C900954">'Schedule_G'!$F$383</definedName>
    <definedName name="_C900955">'Schedule_G'!$F$384</definedName>
    <definedName name="_C900956">'Schedule_G'!$F$385</definedName>
    <definedName name="_C900957">'Schedule_G'!$F$386</definedName>
    <definedName name="_C900958">'Schedule_G'!$F$387</definedName>
    <definedName name="_C900959">'Schedule_G'!$F$388</definedName>
    <definedName name="_C900960">'Schedule_G'!$F$389</definedName>
    <definedName name="_C900961">'Schedule_G'!$F$390</definedName>
    <definedName name="_C900962">'Schedule_G'!$F$391</definedName>
    <definedName name="_C900963">'Schedule_G'!$F$412</definedName>
    <definedName name="_C900964">'Schedule_G'!$F$413</definedName>
    <definedName name="_C900965">'Schedule_G'!$G$364</definedName>
    <definedName name="_C900966">'Schedule_G'!$G$367</definedName>
    <definedName name="_C900967">'Schedule_G'!$G$368</definedName>
    <definedName name="_C900968">'Schedule_G'!$G$369</definedName>
    <definedName name="_C900969">'Schedule_G'!$G$370</definedName>
    <definedName name="_C900970">'Schedule_G'!$G$371</definedName>
    <definedName name="_C900971">'Schedule_G'!$G$372</definedName>
    <definedName name="_C900972">'Schedule_G'!$G$373</definedName>
    <definedName name="_C900973">'Schedule_G'!$G$374</definedName>
    <definedName name="_C900974">'Schedule_G'!$G$375</definedName>
    <definedName name="_C900975">'Schedule_G'!$G$376</definedName>
    <definedName name="_C900976">'Schedule_G'!$G$377</definedName>
    <definedName name="_C900977">'Schedule_G'!$G$378</definedName>
    <definedName name="_C900978">'Schedule_G'!$G$379</definedName>
    <definedName name="_C900979">'Schedule_G'!$G$380</definedName>
    <definedName name="_C900980">'Schedule_G'!$G$381</definedName>
    <definedName name="_C900981">'Schedule_G'!$G$382</definedName>
    <definedName name="_C900982">'Schedule_G'!$G$383</definedName>
    <definedName name="_C900983">'Schedule_G'!$G$384</definedName>
    <definedName name="_C900984">'Schedule_G'!$G$385</definedName>
    <definedName name="_C900985">'Schedule_G'!$G$386</definedName>
    <definedName name="_C900986">'Schedule_G'!$G$387</definedName>
    <definedName name="_C900987">'Schedule_G'!$G$388</definedName>
    <definedName name="_C900988">'Schedule_G'!$G$389</definedName>
    <definedName name="_C900989">'Schedule_G'!$G$390</definedName>
    <definedName name="_C900990">'Schedule_G'!$G$391</definedName>
    <definedName name="_C900991">'Schedule_G'!$G$412</definedName>
    <definedName name="_C900992">'Schedule_G'!$G$413</definedName>
    <definedName name="_C900993">'Schedule_G'!$H$364</definedName>
    <definedName name="_C900994">'Schedule_G'!$H$367</definedName>
    <definedName name="_C900995">'Schedule_G'!$H$368</definedName>
    <definedName name="_C900996">'Schedule_G'!$H$369</definedName>
    <definedName name="_C900997">'Schedule_G'!$H$370</definedName>
    <definedName name="_C900998">'Schedule_G'!$H$371</definedName>
    <definedName name="_C900999">'Schedule_G'!$H$372</definedName>
    <definedName name="_C901000">'Schedule_G'!$H$373</definedName>
    <definedName name="_C901001">'Schedule_G'!$H$374</definedName>
    <definedName name="_C901002">'Schedule_G'!$H$375</definedName>
    <definedName name="_C901003">'Schedule_G'!$H$376</definedName>
    <definedName name="_C901004">'Schedule_G'!$H$377</definedName>
    <definedName name="_C901005">'Schedule_G'!$H$378</definedName>
    <definedName name="_C901006">'Schedule_G'!$H$379</definedName>
    <definedName name="_C901007">'Schedule_G'!$H$380</definedName>
    <definedName name="_C901008">'Schedule_G'!$H$381</definedName>
    <definedName name="_C901009">'Schedule_G'!$H$382</definedName>
    <definedName name="_C901010">'Schedule_G'!$H$383</definedName>
    <definedName name="_C901011">'Schedule_G'!$H$384</definedName>
    <definedName name="_C901012">'Schedule_G'!$H$385</definedName>
    <definedName name="_C901013">'Schedule_G'!$H$386</definedName>
    <definedName name="_C901014">'Schedule_G'!$H$387</definedName>
    <definedName name="_C901015">'Schedule_G'!$H$388</definedName>
    <definedName name="_C901016">'Schedule_G'!$H$389</definedName>
    <definedName name="_C901017">'Schedule_G'!$H$390</definedName>
    <definedName name="_C901018">'Schedule_G'!$H$391</definedName>
    <definedName name="_C901019">'Schedule_G'!$H$412</definedName>
    <definedName name="_C901020">'Schedule_G'!$H$413</definedName>
    <definedName name="_C901021">'Schedule_G'!$I$364</definedName>
    <definedName name="_C901022">'Schedule_G'!$I$367</definedName>
    <definedName name="_C901023">'Schedule_G'!$I$368</definedName>
    <definedName name="_C901024">'Schedule_G'!$I$369</definedName>
    <definedName name="_C901025">'Schedule_G'!$I$370</definedName>
    <definedName name="_C901026">'Schedule_G'!$I$371</definedName>
    <definedName name="_C901027">'Schedule_G'!$I$372</definedName>
    <definedName name="_C901028">'Schedule_G'!$I$373</definedName>
    <definedName name="_C901029">'Schedule_G'!$I$374</definedName>
    <definedName name="_C901030">'Schedule_G'!$I$375</definedName>
    <definedName name="_C901031">'Schedule_G'!$I$376</definedName>
    <definedName name="_C901032">'Schedule_G'!$I$377</definedName>
    <definedName name="_C901033">'Schedule_G'!$I$378</definedName>
    <definedName name="_C901034">'Schedule_G'!$I$379</definedName>
    <definedName name="_C901035">'Schedule_G'!$I$380</definedName>
    <definedName name="_C901036">'Schedule_G'!$I$381</definedName>
    <definedName name="_C901037">'Schedule_G'!$I$382</definedName>
    <definedName name="_C901038">'Schedule_G'!$I$383</definedName>
    <definedName name="_C901039">'Schedule_G'!$I$384</definedName>
    <definedName name="_C901040">'Schedule_G'!$I$385</definedName>
    <definedName name="_C901041">'Schedule_G'!$I$386</definedName>
    <definedName name="_C901042">'Schedule_G'!$I$387</definedName>
    <definedName name="_C901043">'Schedule_G'!$I$388</definedName>
    <definedName name="_C901044">'Schedule_G'!$I$389</definedName>
    <definedName name="_C901045">'Schedule_G'!$I$390</definedName>
    <definedName name="_C901046">'Schedule_G'!$I$391</definedName>
    <definedName name="_C901047">'Schedule_G'!$F$423</definedName>
    <definedName name="_C901048">'Schedule_G'!$F$424</definedName>
    <definedName name="_C901049">'Schedule_G'!$F$425</definedName>
    <definedName name="_C901050">'Schedule_G'!$F$426</definedName>
    <definedName name="_C901051">'Schedule_G'!$F$427</definedName>
    <definedName name="_C901052">'Schedule_G'!$F$428</definedName>
    <definedName name="_C901053">'Schedule_G'!$F$431</definedName>
    <definedName name="_C901054">'Schedule_G'!$F$433</definedName>
    <definedName name="_C901055">'Schedule_G'!$G$423</definedName>
    <definedName name="_C901056">'Schedule_G'!$G$424</definedName>
    <definedName name="_C901057">'Schedule_G'!$G$425</definedName>
    <definedName name="_C901058">'Schedule_G'!$G$426</definedName>
    <definedName name="_C901059">'Schedule_G'!$G$427</definedName>
    <definedName name="_C901060">'Schedule_G'!$G$428</definedName>
    <definedName name="_C901061">'Schedule_G'!$G$431</definedName>
    <definedName name="_C901062">'Schedule_G'!$G$433</definedName>
    <definedName name="_C901063">'Schedule_G'!$H$423</definedName>
    <definedName name="_C901064">'Schedule_G'!$H$424</definedName>
    <definedName name="_C901065">'Schedule_G'!$H$425</definedName>
    <definedName name="_C901066">'Schedule_G'!$H$426</definedName>
    <definedName name="_C901067">'Schedule_G'!$H$427</definedName>
    <definedName name="_C901068">'Schedule_G'!$H$428</definedName>
    <definedName name="_C901069">'Schedule_G'!$H$431</definedName>
    <definedName name="_C901070">'Schedule_G'!$H$433</definedName>
    <definedName name="_C901071">'Schedule_G'!$I$426</definedName>
    <definedName name="_C901072">'Schedule_G'!$I$427</definedName>
    <definedName name="_C901073">'Schedule_G-1'!$G$9</definedName>
    <definedName name="_C901074">'Schedule_G-1'!$H$9</definedName>
    <definedName name="_C901075">'Schedule_G-1'!$I$9</definedName>
    <definedName name="_C901076">'Schedule_G-1'!$J$9</definedName>
    <definedName name="_C901077">'Schedule_G-1'!$G$12</definedName>
    <definedName name="_C901078">'Schedule_G-1'!$H$12</definedName>
    <definedName name="_C901079">'Schedule_G-1'!$I$12</definedName>
    <definedName name="_C901080">'Schedule_G-1'!$J$12</definedName>
    <definedName name="_C901081">'Schedule_G-1'!$G$15</definedName>
    <definedName name="_C901082">'Schedule_G-1'!$H$15</definedName>
    <definedName name="_C901083">'Schedule_G-1'!$I$15</definedName>
    <definedName name="_C901084">'Schedule_G-1'!$J$15</definedName>
    <definedName name="_C901085">'Schedule_G-1'!$G$18</definedName>
    <definedName name="_C901086">'Schedule_G-1'!$H$18</definedName>
    <definedName name="_C901087">'Schedule_G-1'!$I$18</definedName>
    <definedName name="_C901088">'Schedule_G-1'!$J$18</definedName>
    <definedName name="_C901089">'Schedule_G-1'!$G$21</definedName>
    <definedName name="_C901090">'Schedule_G-1'!$H$21</definedName>
    <definedName name="_C901091">'Schedule_G-1'!$I$21</definedName>
    <definedName name="_C901092">'Schedule_G-1'!$J$21</definedName>
    <definedName name="_C901093">'Schedule_G-1'!$G$24</definedName>
    <definedName name="_C901094">'Schedule_G-1'!$H$24</definedName>
    <definedName name="_C901095">'Schedule_G-1'!$I$24</definedName>
    <definedName name="_C901096">'Schedule_G-1'!$J$24</definedName>
    <definedName name="_C901097">'Schedule_G-1'!$F$33</definedName>
    <definedName name="_C901098">'Schedule_G-1'!$H$33</definedName>
    <definedName name="_C901099">'Schedule_G-1'!$I$33</definedName>
    <definedName name="_C901100">'Schedule_G-1'!$J$33</definedName>
    <definedName name="_C901101">'Schedule_G-1'!$K$33</definedName>
    <definedName name="_C901102">'Schedule_G-1'!$L$33</definedName>
    <definedName name="_C901103">'Schedule_G-1'!$F$34</definedName>
    <definedName name="_C901104">'Schedule_G-1'!$H$34</definedName>
    <definedName name="_C901105">'Schedule_G-1'!$I$34</definedName>
    <definedName name="_C901106">'Schedule_G-1'!$J$34</definedName>
    <definedName name="_C901107">'Schedule_G-1'!$K$34</definedName>
    <definedName name="_C901108">'Schedule_G-1'!$L$34</definedName>
    <definedName name="_C901109">'Schedule_G-1'!$F$35</definedName>
    <definedName name="_C901110">'Schedule_G-1'!$H$35</definedName>
    <definedName name="_C901111">'Schedule_G-1'!$I$35</definedName>
    <definedName name="_C901112">'Schedule_G-1'!$J$35</definedName>
    <definedName name="_C901113">'Schedule_G-1'!$K$35</definedName>
    <definedName name="_C901114">'Schedule_G-1'!$L$35</definedName>
    <definedName name="_C901115">'Schedule_G-1'!$F$36</definedName>
    <definedName name="_C901116">'Schedule_G-1'!$H$36</definedName>
    <definedName name="_C901117">'Schedule_G-1'!$I$36</definedName>
    <definedName name="_C901118">'Schedule_G-1'!$J$36</definedName>
    <definedName name="_C901119">'Schedule_G-1'!$K$36</definedName>
    <definedName name="_C901120">'Schedule_G-1'!$L$36</definedName>
    <definedName name="_C901121">'Schedule_G-1'!$F$37</definedName>
    <definedName name="_C901122">'Schedule_G-1'!$H$37</definedName>
    <definedName name="_C901123">'Schedule_G-1'!$I$37</definedName>
    <definedName name="_C901124">'Schedule_G-1'!$J$37</definedName>
    <definedName name="_C901125">'Schedule_G-1'!$K$37</definedName>
    <definedName name="_C901126">'Schedule_G-1'!$L$37</definedName>
    <definedName name="_C901127">'Schedule_G-2'!$G$10</definedName>
    <definedName name="_C901128">'Schedule_G-2'!$H$10</definedName>
    <definedName name="_C901139">'Schedule_G-2'!$G$12</definedName>
    <definedName name="_C901140">'Schedule_G-2'!$H$12</definedName>
    <definedName name="_C901145">'Schedule_G-2'!$G$13</definedName>
    <definedName name="_C901146">'Schedule_G-2'!$H$13</definedName>
    <definedName name="_C901151">'Schedule_G-2'!$G$14</definedName>
    <definedName name="_C901152">'Schedule_G-2'!$H$14</definedName>
    <definedName name="_C901157">'Schedule_G-2'!$G$15</definedName>
    <definedName name="_C901158">'Schedule_G-2'!$H$15</definedName>
    <definedName name="_C901163">'Schedule_G-2'!$G$16</definedName>
    <definedName name="_C901164">'Schedule_G-2'!$H$16</definedName>
    <definedName name="_C901169">'Schedule_G-2'!$G$17</definedName>
    <definedName name="_C901170">'Schedule_G-2'!$H$17</definedName>
    <definedName name="_C901175">'Schedule_G-2'!$G$18</definedName>
    <definedName name="_C901176">'Schedule_G-2'!$H$18</definedName>
    <definedName name="_C901181">'Schedule_G-2'!$G$19</definedName>
    <definedName name="_C901182">'Schedule_G-2'!$H$19</definedName>
    <definedName name="_C901187">'Schedule_G-2'!$G$20</definedName>
    <definedName name="_C901188">'Schedule_G-2'!$H$20</definedName>
    <definedName name="_C901193">'Schedule_G-2'!$G$21</definedName>
    <definedName name="_C901194">'Schedule_G-2'!$H$21</definedName>
    <definedName name="_C901199">'Schedule_G-2'!$G$22</definedName>
    <definedName name="_C901200">'Schedule_G-2'!$H$22</definedName>
    <definedName name="_C901205">'Schedule_G-2'!$G$23</definedName>
    <definedName name="_C901206">'Schedule_G-2'!$H$23</definedName>
    <definedName name="_C901211">'Schedule_G-2'!$G$24</definedName>
    <definedName name="_C901212">'Schedule_G-2'!$H$24</definedName>
    <definedName name="_C901217">'Schedule_G-2'!$G$25</definedName>
    <definedName name="_C901218">'Schedule_G-2'!$H$25</definedName>
    <definedName name="_C901223">'Schedule_G-2'!$G$26</definedName>
    <definedName name="_C901224">'Schedule_G-2'!$H$26</definedName>
    <definedName name="_C901229">'Schedule_G-2'!$G$27</definedName>
    <definedName name="_C901230">'Schedule_G-2'!$H$27</definedName>
    <definedName name="_C901235">'Schedule_G-2'!$G$28</definedName>
    <definedName name="_C901236">'Schedule_G-2'!$H$28</definedName>
    <definedName name="_C901448">'Supp Schedule_O-1'!$D$11</definedName>
    <definedName name="_C901449">'Supp Schedule_O-1'!$E$11</definedName>
    <definedName name="_C901450">'Supp Schedule_O-1'!$F$11</definedName>
    <definedName name="_C901451">'Supp Schedule_O-1'!$G$11</definedName>
    <definedName name="_C901452">'Supp Schedule_O-1'!$H$11</definedName>
    <definedName name="_C901453">'Supp Schedule_O-1'!$D$12</definedName>
    <definedName name="_C901454">'Supp Schedule_O-1'!$E$12</definedName>
    <definedName name="_C901455">'Supp Schedule_O-1'!$F$12</definedName>
    <definedName name="_C901456">'Supp Schedule_O-1'!$G$12</definedName>
    <definedName name="_C901457">'Supp Schedule_O-1'!$H$12</definedName>
    <definedName name="_C901458">'Supp Schedule_O-1'!$D$13</definedName>
    <definedName name="_C901459">'Supp Schedule_O-1'!$E$13</definedName>
    <definedName name="_C901460">'Supp Schedule_O-1'!$F$13</definedName>
    <definedName name="_C901461">'Supp Schedule_O-1'!$G$13</definedName>
    <definedName name="_C901462">'Supp Schedule_O-1'!$H$13</definedName>
    <definedName name="_C901463">'Supp Schedule_O-1'!$D$14</definedName>
    <definedName name="_C901464">'Supp Schedule_O-1'!$E$14</definedName>
    <definedName name="_C901465">'Supp Schedule_O-1'!$F$14</definedName>
    <definedName name="_C901466">'Supp Schedule_O-1'!$G$14</definedName>
    <definedName name="_C901467">'Supp Schedule_O-1'!$H$14</definedName>
    <definedName name="_C901468">'Supp Schedule_O-1'!$D$15</definedName>
    <definedName name="_C901469">'Supp Schedule_O-1'!$E$15</definedName>
    <definedName name="_C901470">'Supp Schedule_O-1'!$F$15</definedName>
    <definedName name="_C901471">'Supp Schedule_O-1'!$G$15</definedName>
    <definedName name="_C901472">'Supp Schedule_O-1'!$H$15</definedName>
    <definedName name="_C901473">'Supp Schedule_O-1'!$D$16</definedName>
    <definedName name="_C901474">'Supp Schedule_O-1'!$E$16</definedName>
    <definedName name="_C901475">'Supp Schedule_O-1'!$F$16</definedName>
    <definedName name="_C901476">'Supp Schedule_O-1'!$G$16</definedName>
    <definedName name="_C901477">'Supp Schedule_O-1'!$H$16</definedName>
    <definedName name="_C901478">'Supp Schedule_O-1'!$D$17</definedName>
    <definedName name="_C901479">'Supp Schedule_O-1'!$E$17</definedName>
    <definedName name="_C901480">'Supp Schedule_O-1'!$F$17</definedName>
    <definedName name="_C901481">'Supp Schedule_O-1'!$G$17</definedName>
    <definedName name="_C901482">'Supp Schedule_O-1'!$H$17</definedName>
    <definedName name="_C901483">'Supp Schedule_O-1'!$D$18</definedName>
    <definedName name="_C901484">'Supp Schedule_O-1'!$E$18</definedName>
    <definedName name="_C901485">'Supp Schedule_O-1'!$F$18</definedName>
    <definedName name="_C901486">'Supp Schedule_O-1'!$G$18</definedName>
    <definedName name="_C901487">'Supp Schedule_O-1'!$H$18</definedName>
    <definedName name="_C901488">'Supp Schedule_O-1'!$D$19</definedName>
    <definedName name="_C901489">'Supp Schedule_O-1'!$E$19</definedName>
    <definedName name="_C901490">'Supp Schedule_O-1'!$F$19</definedName>
    <definedName name="_C901491">'Supp Schedule_O-1'!$G$19</definedName>
    <definedName name="_C901492">'Supp Schedule_O-1'!$H$19</definedName>
    <definedName name="_C901493">'Supp Schedule_O-1'!$D$20</definedName>
    <definedName name="_C901494">'Supp Schedule_O-1'!$E$20</definedName>
    <definedName name="_C901495">'Supp Schedule_O-1'!$F$20</definedName>
    <definedName name="_C901496">'Supp Schedule_O-1'!$G$20</definedName>
    <definedName name="_C901497">'Supp Schedule_O-1'!$H$20</definedName>
    <definedName name="_C901498">'Supp Schedule_O-1'!$D$21</definedName>
    <definedName name="_C901499">'Supp Schedule_O-1'!$E$21</definedName>
    <definedName name="_C901500">'Supp Schedule_O-1'!$F$21</definedName>
    <definedName name="_C901501">'Supp Schedule_O-1'!$G$21</definedName>
    <definedName name="_C901502">'Supp Schedule_O-1'!$H$21</definedName>
    <definedName name="_C901503">'Supp Schedule_O-1'!$D$22</definedName>
    <definedName name="_C901504">'Supp Schedule_O-1'!$E$22</definedName>
    <definedName name="_C901505">'Supp Schedule_O-1'!$F$22</definedName>
    <definedName name="_C901506">'Supp Schedule_O-1'!$G$22</definedName>
    <definedName name="_C901507">'Supp Schedule_O-1'!$H$22</definedName>
    <definedName name="_C901508">'Supp Schedule_O-1'!$E$24</definedName>
    <definedName name="_C901509">'Supp Schedule_O-1'!$F$24</definedName>
    <definedName name="_C901510">'Supp Schedule_O-1'!$G$24</definedName>
    <definedName name="_C901511">'Supp Schedule_O-1'!$H$24</definedName>
    <definedName name="_C901550">'Schedule_N'!$L$8</definedName>
    <definedName name="_C901551">'Schedule_N'!$L$9</definedName>
    <definedName name="_C901552">'Schedule_N'!$L$10</definedName>
    <definedName name="_C901553">'Schedule_N'!$L$11</definedName>
    <definedName name="_C901554">'Schedule_N'!$L$12</definedName>
    <definedName name="_C901555">'Schedule_N'!$L$13</definedName>
    <definedName name="_C901556">'Schedule_N'!$L$14</definedName>
    <definedName name="_C901557">'Schedule_N'!$L$15</definedName>
    <definedName name="_C901558">'Schedule_N'!$L$16</definedName>
    <definedName name="_C901559">'Schedule_N'!$L$17</definedName>
    <definedName name="_C901560">'Schedule_N'!$L$18</definedName>
    <definedName name="_C901561">'Schedule_N'!$L$19</definedName>
    <definedName name="_C901562">'Schedule_G'!$F$202</definedName>
    <definedName name="_C901563">'Schedule_G'!$G$202</definedName>
    <definedName name="_C901564">'Schedule_G'!$H$202</definedName>
    <definedName name="_C901565">'Schedule_G'!$F$206</definedName>
    <definedName name="_C901566">'Schedule_G'!$G$206</definedName>
    <definedName name="_C901567">'Schedule_G'!$H$206</definedName>
    <definedName name="_C901568">'Schedule_G'!$J$276</definedName>
    <definedName name="_C901671">'Schedule_G'!$J$277</definedName>
    <definedName name="_C901674">'Schedule_G'!$J$278</definedName>
    <definedName name="_C901677">'Schedule_G'!$J$279</definedName>
    <definedName name="_C901680">'Schedule_G'!$J$280</definedName>
    <definedName name="_C901683">'Schedule_G'!$F$285</definedName>
    <definedName name="_C901685">'Schedule_G'!$F$331</definedName>
    <definedName name="_C901686">'Schedule_G'!$G$331</definedName>
    <definedName name="_C901687">'Schedule_G'!$H$331</definedName>
    <definedName name="_C901688">'Schedule_G'!$F$332</definedName>
    <definedName name="_C901689">'Schedule_G'!$G$332</definedName>
    <definedName name="_C901690">'Schedule_G'!$H$332</definedName>
    <definedName name="_C901691">'Schedule_G'!$F$335</definedName>
    <definedName name="_C901692">'Schedule_G'!$G$335</definedName>
    <definedName name="_C901693">'Schedule_G'!$H$335</definedName>
    <definedName name="_C901694">'Schedule_G-2'!$G$8</definedName>
    <definedName name="_C901695">'Schedule_G-2'!$H$8</definedName>
    <definedName name="_C901700">'Schedule_G-2'!$G$9</definedName>
    <definedName name="_C901701">'Schedule_G-2'!$H$9</definedName>
    <definedName name="_C902025">'Schedule_G'!$F$336</definedName>
    <definedName name="_C902026">'Schedule_G'!$G$336</definedName>
    <definedName name="_C902027">'Schedule_G'!$H$336</definedName>
    <definedName name="_C902028">'Schedule_G'!$I$336</definedName>
    <definedName name="_C902029">'Schedule_G'!$F$365</definedName>
    <definedName name="_C902030">'Schedule_G'!$G$365</definedName>
    <definedName name="_C902031">'Schedule_G'!$H$365</definedName>
    <definedName name="_C902032">'Schedule_G'!$I$365</definedName>
    <definedName name="_C902035">'Schedule_O '!$I$15</definedName>
    <definedName name="_C902036">'Schedule_O '!$I$16</definedName>
    <definedName name="_C902039">'Schedule_O '!$I$17</definedName>
    <definedName name="_C902040">'Schedule_O '!$I$18</definedName>
    <definedName name="_C902045">'Schedule_O '!$I$26</definedName>
    <definedName name="_C902046">'Schedule_O '!$J$15</definedName>
    <definedName name="_C902047">'Schedule_O '!$J$16</definedName>
    <definedName name="_C902050">'Schedule_O '!$J$17</definedName>
    <definedName name="_C902051">'Schedule_O '!$J$18</definedName>
    <definedName name="_C902055">'Schedule_O '!$J$26</definedName>
    <definedName name="_C902056">'Schedule_O '!$K$15</definedName>
    <definedName name="_C902057">'Schedule_O '!$K$16</definedName>
    <definedName name="_C902060">'Schedule_O '!$K$17</definedName>
    <definedName name="_C902061">'Schedule_O '!$K$18</definedName>
    <definedName name="_C902065">'Schedule_O '!$K$26</definedName>
    <definedName name="_C902069">'Schedule_O '!$I$30</definedName>
    <definedName name="_C902072">'Schedule_O '!$I$31</definedName>
    <definedName name="_C902073">'Schedule_O '!$I$32</definedName>
    <definedName name="_C902077">'Schedule_O '!$I$40</definedName>
    <definedName name="_C902078">'Schedule_O '!$J$30</definedName>
    <definedName name="_C902081">'Schedule_O '!$J$31</definedName>
    <definedName name="_C902082">'Schedule_O '!$J$32</definedName>
    <definedName name="_C902087">'Schedule_O '!$J$40</definedName>
    <definedName name="_C902088">'Schedule_O '!$K$30</definedName>
    <definedName name="_C902091">'Schedule_O '!$K$31</definedName>
    <definedName name="_C902092">'Schedule_O '!$K$32</definedName>
    <definedName name="_C902096">'Schedule_O '!$K$40</definedName>
    <definedName name="_C902180">'Schedule_G'!$F$214</definedName>
    <definedName name="_C902181">'Schedule_G'!$G$214</definedName>
    <definedName name="_C902182">'Schedule_G'!$H$214</definedName>
    <definedName name="_C902185">'Schedule P'!$F$18</definedName>
    <definedName name="_C902186">'Schedule P'!$F$19</definedName>
    <definedName name="_C902187">'Schedule P'!$F$20</definedName>
    <definedName name="_C902188">'Schedule P'!$F$23</definedName>
    <definedName name="_C902189">'Schedule P'!$F$24</definedName>
    <definedName name="_C902190">'Schedule P'!$F$25</definedName>
    <definedName name="_C902191">'Schedule P'!$F$26</definedName>
    <definedName name="_C902192">'Schedule P'!$F$29</definedName>
    <definedName name="_C902193">'Schedule P'!$F$33</definedName>
    <definedName name="_C902196">'Schedule P'!$F$34</definedName>
    <definedName name="_C902197">'Schedule P'!$F$35</definedName>
    <definedName name="_C902198">'Schedule P'!$F$36</definedName>
    <definedName name="_C902199">'Schedule P'!$F$37</definedName>
    <definedName name="_C903029">'Schedule_G-2_HO'!$G$8</definedName>
    <definedName name="_C903030">'Schedule_G-2_HO'!$G$9</definedName>
    <definedName name="_C903031">'Schedule_G-2_HO'!$G$10</definedName>
    <definedName name="_C903032">'Schedule_G-2_HO'!$G$12</definedName>
    <definedName name="_C903033">'Schedule_G-2_HO'!$G$13</definedName>
    <definedName name="_C903034">'Schedule_G-2_HO'!$G$14</definedName>
    <definedName name="_C903035">'Schedule_G-2_HO'!$G$15</definedName>
    <definedName name="_C903036">'Schedule_G-2_HO'!$G$16</definedName>
    <definedName name="_C903037">'Schedule_G-2_HO'!$G$17</definedName>
    <definedName name="_C903038">'Schedule_G-2_HO'!$G$18</definedName>
    <definedName name="_C903039">'Schedule_G-2_HO'!$G$19</definedName>
    <definedName name="_C903040">'Schedule_G-2_HO'!$G$20</definedName>
    <definedName name="_C903041">'Schedule_G-2_HO'!$G$21</definedName>
    <definedName name="_C903042">'Schedule_G-2_HO'!$G$22</definedName>
    <definedName name="_C903043">'Schedule_G-2_HO'!$G$23</definedName>
    <definedName name="_C903044">'Schedule_G-2_HO'!$G$24</definedName>
    <definedName name="_C903045">'Schedule_G-2_HO'!$G$25</definedName>
    <definedName name="_C903046">'Schedule_G-2_HO'!$G$26</definedName>
    <definedName name="_C903047">'Schedule_G-2_HO'!$G$27</definedName>
    <definedName name="_C903048">'Schedule_G-2_HO'!$H$8</definedName>
    <definedName name="_C903049">'Schedule_G-2_HO'!$H$9</definedName>
    <definedName name="_C903050">'Schedule_G-2_HO'!$H$10</definedName>
    <definedName name="_C903051">'Schedule_G-2_HO'!$H$12</definedName>
    <definedName name="_C903052">'Schedule_G-2_HO'!$H$13</definedName>
    <definedName name="_C903053">'Schedule_G-2_HO'!$H$14</definedName>
    <definedName name="_C903054">'Schedule_G-2_HO'!$H$15</definedName>
    <definedName name="_C903055">'Schedule_G-2_HO'!$H$16</definedName>
    <definedName name="_C903056">'Schedule_G-2_HO'!$H$17</definedName>
    <definedName name="_C903057">'Schedule_G-2_HO'!$H$18</definedName>
    <definedName name="_C903058">'Schedule_G-2_HO'!$H$19</definedName>
    <definedName name="_C903059">'Schedule_G-2_HO'!$H$20</definedName>
    <definedName name="_C903060">'Schedule_G-2_HO'!$H$21</definedName>
    <definedName name="_C903061">'Schedule_G-2_HO'!$H$22</definedName>
    <definedName name="_C903062">'Schedule_G-2_HO'!$H$23</definedName>
    <definedName name="_C903063">'Schedule_G-2_HO'!$H$24</definedName>
    <definedName name="_C903064">'Schedule_G-2_HO'!$H$25</definedName>
    <definedName name="_C903065">'Schedule_G-2_HO'!$H$26</definedName>
    <definedName name="_C903066">'Schedule_G-2_HO'!$H$27</definedName>
    <definedName name="_C903143">'Schedule_G-2_HO'!$G$28</definedName>
    <definedName name="_C903144">'Schedule_G-2_HO'!$H$28</definedName>
    <definedName name="_C903644">'Schedule_N'!$J$8</definedName>
    <definedName name="_C903645">'Schedule_N'!$J$9</definedName>
    <definedName name="_C903646">'Schedule_N'!$J$10</definedName>
    <definedName name="_C903647">'Schedule_N'!$J$11</definedName>
    <definedName name="_C903648">'Schedule_N'!$J$12</definedName>
    <definedName name="_C903649">'Schedule_N'!$J$13</definedName>
    <definedName name="_C903650">'Schedule_N'!$J$14</definedName>
    <definedName name="_C903651">'Schedule_N'!$J$15</definedName>
    <definedName name="_C903652">'Schedule_N'!$J$16</definedName>
    <definedName name="_C903653">'Schedule_N'!$J$17</definedName>
    <definedName name="_C903654">'Schedule_N'!$J$18</definedName>
    <definedName name="_C903655">'Schedule_N'!$J$19</definedName>
    <definedName name="_C903656">'Schedule_N'!$J$20</definedName>
    <definedName name="_C903657">'Schedule_G'!$F$74</definedName>
    <definedName name="_C903658">'Schedule_G'!$F$103</definedName>
    <definedName name="_C903659">'Schedule_G'!$F$119</definedName>
    <definedName name="_C903660">'Schedule_G'!$G$74</definedName>
    <definedName name="_C903661">'Schedule_G'!$G$103</definedName>
    <definedName name="_C903662">'Schedule_G'!$G$119</definedName>
    <definedName name="_C903663">'Schedule_G'!$H$74</definedName>
    <definedName name="_C903664">'Schedule_G'!$H$103</definedName>
    <definedName name="_C903665">'Schedule_G'!$H$119</definedName>
    <definedName name="_C903666">'Schedule_G'!$J$74</definedName>
    <definedName name="_C903667">'Schedule_G'!$J$103</definedName>
    <definedName name="_C903668">'Schedule_G'!$J$119</definedName>
    <definedName name="_C903685">'Schedule_O '!$D$25</definedName>
    <definedName name="_C903686">'Schedule_O '!$E$25</definedName>
    <definedName name="_C903687">'Schedule_O '!$F$25</definedName>
    <definedName name="_C903688">'Schedule_O '!$G$25</definedName>
    <definedName name="_C903689">'Schedule_O '!$H$25</definedName>
    <definedName name="_C903690">'Schedule_O '!$I$25</definedName>
    <definedName name="_C903691">'Schedule_O '!$J$25</definedName>
    <definedName name="_C903692">'Schedule_O '!$K$25</definedName>
    <definedName name="_C903715">'Schedule_O '!$D$39</definedName>
    <definedName name="_C903716">'Schedule_O '!$E$39</definedName>
    <definedName name="_C903717">'Schedule_O '!$F$39</definedName>
    <definedName name="_C903718">'Schedule_O '!$G$39</definedName>
    <definedName name="_C903719">'Schedule_O '!$H$39</definedName>
    <definedName name="_C903720">'Schedule_O '!$I$39</definedName>
    <definedName name="_C903721">'Schedule_O '!$J$39</definedName>
    <definedName name="_C903722">'Schedule_O '!$K$39</definedName>
    <definedName name="_C903723">'Schedule_O '!$L$39</definedName>
    <definedName name="_C903724">'Schedule_O '!$M$39</definedName>
    <definedName name="_C903725">'Schedule_O '!$N$39</definedName>
    <definedName name="_C903732">'Schedule_O '!$D$58</definedName>
    <definedName name="_C903733">'Schedule_O '!$F$58</definedName>
    <definedName name="_C903734">'Schedule_O '!$G$58</definedName>
    <definedName name="_C903735">'Schedule_O '!$G$69</definedName>
    <definedName name="_C903736">'Schedule_O '!$H$69</definedName>
    <definedName name="_C903890">'Schedule_G'!$F$66</definedName>
    <definedName name="_C903891">'Schedule_G'!$G$66</definedName>
    <definedName name="_C903892">'Schedule_G'!$H$66</definedName>
    <definedName name="_C903893">'Schedule_G'!$J$66</definedName>
    <definedName name="_C903894">'Schedule_G'!$F$67</definedName>
    <definedName name="_C903895">'Schedule_G'!$G$67</definedName>
    <definedName name="_C903896">'Schedule_G'!$H$67</definedName>
    <definedName name="_C903897">'Schedule_G'!$I$67</definedName>
    <definedName name="_C903898">'Schedule_G'!$J$67</definedName>
    <definedName name="_C903899">'Schedule_G'!$F$85</definedName>
    <definedName name="_C903900">'Schedule_G'!$G$85</definedName>
    <definedName name="_C903901">'Schedule_G'!$H$85</definedName>
    <definedName name="_C903902">'Schedule_G'!$J$85</definedName>
    <definedName name="_C903903">'Schedule_G'!$F$86</definedName>
    <definedName name="_C903904">'Schedule_G'!$G$86</definedName>
    <definedName name="_C903905">'Schedule_G'!$H$86</definedName>
    <definedName name="_C903906">'Schedule_G'!$I$86</definedName>
    <definedName name="_C903907">'Schedule_G'!$J$86</definedName>
    <definedName name="_C903908">'Schedule_G'!$F$111</definedName>
    <definedName name="_C903909">'Schedule_G'!$G$111</definedName>
    <definedName name="_C903910">'Schedule_G'!$H$111</definedName>
    <definedName name="_C903911">'Schedule_G'!$J$111</definedName>
    <definedName name="_C903912">'Schedule_G'!$F$112</definedName>
    <definedName name="_C903913">'Schedule_G'!$G$112</definedName>
    <definedName name="_C903914">'Schedule_G'!$H$112</definedName>
    <definedName name="_C903915">'Schedule_G'!$I$112</definedName>
    <definedName name="_C903916">'Schedule_G'!$J$112</definedName>
    <definedName name="_C903917">'Schedule_G'!$F$286</definedName>
    <definedName name="_C903920">'Schedule_G'!$H$277</definedName>
    <definedName name="_C903921">'Schedule_G'!$H$278</definedName>
    <definedName name="_C903922">'Schedule_G'!$H$279</definedName>
    <definedName name="_C903923">'Schedule_G'!$H$280</definedName>
    <definedName name="_C903924">'Schedule_G'!$F$284</definedName>
    <definedName name="_C903925">'Schedule_O '!$D$19</definedName>
    <definedName name="_C903926">'Schedule_O '!$E$19</definedName>
    <definedName name="_C903927">'Schedule_O '!$F$19</definedName>
    <definedName name="_C903928">'Schedule_O '!$G$19</definedName>
    <definedName name="_C903929">'Schedule_O '!$H$19</definedName>
    <definedName name="_C903930">'Schedule_O '!$I$19</definedName>
    <definedName name="_C903931">'Schedule_O '!$J$19</definedName>
    <definedName name="_C903932">'Schedule_O '!$K$19</definedName>
    <definedName name="_C903933">'Schedule_O '!$D$21</definedName>
    <definedName name="_C903934">'Schedule_O '!$E$21</definedName>
    <definedName name="_C903935">'Schedule_O '!$F$21</definedName>
    <definedName name="_C903936">'Schedule_O '!$G$21</definedName>
    <definedName name="_C903937">'Schedule_O '!$H$21</definedName>
    <definedName name="_C903938">'Schedule_O '!$I$21</definedName>
    <definedName name="_C903939">'Schedule_O '!$J$21</definedName>
    <definedName name="_C903940">'Schedule_O '!$K$21</definedName>
    <definedName name="_C903941">'Schedule_O '!$D$22</definedName>
    <definedName name="_C903942">'Schedule_O '!$E$22</definedName>
    <definedName name="_C903943">'Schedule_O '!$F$22</definedName>
    <definedName name="_C903944">'Schedule_O '!$G$22</definedName>
    <definedName name="_C903945">'Schedule_O '!$H$22</definedName>
    <definedName name="_C903946">'Schedule_O '!$I$22</definedName>
    <definedName name="_C903947">'Schedule_O '!$J$22</definedName>
    <definedName name="_C903948">'Schedule_O '!$K$22</definedName>
    <definedName name="_C903949">'Schedule_O '!$D$33</definedName>
    <definedName name="_C903950">'Schedule_O '!$E$33</definedName>
    <definedName name="_C903951">'Schedule_O '!$F$33</definedName>
    <definedName name="_C903952">'Schedule_O '!$G$33</definedName>
    <definedName name="_C903953">'Schedule_O '!$H$33</definedName>
    <definedName name="_C903954">'Schedule_O '!$I$33</definedName>
    <definedName name="_C903955">'Schedule_O '!$J$33</definedName>
    <definedName name="_C903956">'Schedule_O '!$K$33</definedName>
    <definedName name="_C903957">'Schedule_O '!$L$33</definedName>
    <definedName name="_C903958">'Schedule_O '!$M$33</definedName>
    <definedName name="_C903959">'Schedule_O '!$N$33</definedName>
    <definedName name="_C903960">'Schedule_O '!$D$35</definedName>
    <definedName name="_C903961">'Schedule_O '!$E$35</definedName>
    <definedName name="_C903962">'Schedule_O '!$F$35</definedName>
    <definedName name="_C903963">'Schedule_O '!$G$35</definedName>
    <definedName name="_C903964">'Schedule_O '!$H$35</definedName>
    <definedName name="_C903965">'Schedule_O '!$I$35</definedName>
    <definedName name="_C903966">'Schedule_O '!$J$35</definedName>
    <definedName name="_C903967">'Schedule_O '!$K$35</definedName>
    <definedName name="_C903968">'Schedule_O '!$L$35</definedName>
    <definedName name="_C903969">'Schedule_O '!$M$35</definedName>
    <definedName name="_C903970">'Schedule_O '!$N$35</definedName>
    <definedName name="_C903971">'Schedule_O '!$D$36</definedName>
    <definedName name="_C903972">'Schedule_O '!$E$36</definedName>
    <definedName name="_C903973">'Schedule_O '!$F$36</definedName>
    <definedName name="_C903974">'Schedule_O '!$G$36</definedName>
    <definedName name="_C903975">'Schedule_O '!$H$36</definedName>
    <definedName name="_C903976">'Schedule_O '!$I$36</definedName>
    <definedName name="_C903977">'Schedule_O '!$J$36</definedName>
    <definedName name="_C903978">'Schedule_O '!$K$36</definedName>
    <definedName name="_C903979">'Schedule_O '!$L$36</definedName>
    <definedName name="_C903980">'Schedule_O '!$M$36</definedName>
    <definedName name="_C903981">'Schedule_O '!$N$36</definedName>
    <definedName name="_C903982">'Schedule_O '!$D$53</definedName>
    <definedName name="_C903983">'Schedule_O '!$D$55</definedName>
    <definedName name="_C903984">'Schedule_O '!$F$53</definedName>
    <definedName name="_C903985">'Schedule_O '!$F$55</definedName>
    <definedName name="_C903986">'Schedule_O '!$G$53</definedName>
    <definedName name="_C903987">'Schedule_O '!$G$55</definedName>
    <definedName name="_C903988">'Schedule_G'!$J$281</definedName>
    <definedName name="_C903989">'Schedule_G'!$G$282</definedName>
    <definedName name="_C903990">'Schedule_O '!$D$23</definedName>
    <definedName name="_C903991">'Schedule_O '!$E$23</definedName>
    <definedName name="_C903992">'Schedule_O '!$F$23</definedName>
    <definedName name="_C903993">'Schedule_O '!$G$23</definedName>
    <definedName name="_C903994">'Schedule_O '!$H$23</definedName>
    <definedName name="_C903995">'Schedule_O '!$I$23</definedName>
    <definedName name="_C903996">'Schedule_O '!$J$23</definedName>
    <definedName name="_C903997">'Schedule_O '!$K$23</definedName>
    <definedName name="_C903998">'Schedule_O '!$D$24</definedName>
    <definedName name="_C903999">'Schedule_O '!$E$24</definedName>
    <definedName name="_C904000">'Schedule_O '!$F$24</definedName>
    <definedName name="_C904001">'Schedule_O '!$G$24</definedName>
    <definedName name="_C904002">'Schedule_O '!$H$24</definedName>
    <definedName name="_C904003">'Schedule_O '!$I$24</definedName>
    <definedName name="_C904004">'Schedule_O '!$J$24</definedName>
    <definedName name="_C904005">'Schedule_O '!$K$24</definedName>
    <definedName name="_C904006">'Schedule_O '!$D$37</definedName>
    <definedName name="_C904007">'Schedule_O '!$E$37</definedName>
    <definedName name="_C904008">'Schedule_O '!$F$37</definedName>
    <definedName name="_C904009">'Schedule_O '!$G$37</definedName>
    <definedName name="_C904010">'Schedule_O '!$H$37</definedName>
    <definedName name="_C904011">'Schedule_O '!$I$37</definedName>
    <definedName name="_C904012">'Schedule_O '!$J$37</definedName>
    <definedName name="_C904013">'Schedule_O '!$K$37</definedName>
    <definedName name="_C904014">'Schedule_O '!$L$37</definedName>
    <definedName name="_C904015">'Schedule_O '!$M$37</definedName>
    <definedName name="_C904016">'Schedule_O '!$N$37</definedName>
    <definedName name="_C904017">'Schedule_O '!$D$38</definedName>
    <definedName name="_C904018">'Schedule_O '!$E$38</definedName>
    <definedName name="_C904019">'Schedule_O '!$F$38</definedName>
    <definedName name="_C904020">'Schedule_O '!$G$38</definedName>
    <definedName name="_C904021">'Schedule_O '!$H$38</definedName>
    <definedName name="_C904022">'Schedule_O '!$I$38</definedName>
    <definedName name="_C904023">'Schedule_O '!$J$38</definedName>
    <definedName name="_C904024">'Schedule_O '!$K$38</definedName>
    <definedName name="_C904025">'Schedule_O '!$L$38</definedName>
    <definedName name="_C904026">'Schedule_O '!$M$38</definedName>
    <definedName name="_C904027">'Schedule_O '!$N$38</definedName>
    <definedName name="_C904028">'Schedule_O '!$D$56</definedName>
    <definedName name="_C904029">'Schedule_O '!$F$56</definedName>
    <definedName name="_C904030">'Schedule_O '!$G$56</definedName>
    <definedName name="_C904031">'Schedule_O '!$D$57</definedName>
    <definedName name="_C904032">'Schedule_O '!$F$57</definedName>
    <definedName name="_C904033">'Schedule_O '!$G$57</definedName>
    <definedName name="_C904034">'Schedule_L'!$C$7</definedName>
    <definedName name="_C904035">'Schedule_L'!$C$8</definedName>
    <definedName name="_C904036">'Schedule_L'!$C$9</definedName>
    <definedName name="_C904037">'Schedule_G'!$I$392</definedName>
    <definedName name="_C904038">'Schedule_G'!$I$393</definedName>
    <definedName name="_C904039">'Schedule_G'!$I$394</definedName>
    <definedName name="_C904040">'Schedule_G'!$I$395</definedName>
    <definedName name="_C904041">'Schedule_G'!$I$396</definedName>
    <definedName name="_C904042">'Schedule_G'!$I$397</definedName>
    <definedName name="_C904043">'Schedule_G'!$I$398</definedName>
    <definedName name="_C904044">'Schedule_G'!$I$399</definedName>
    <definedName name="_C904045">'Schedule_G'!$I$400</definedName>
    <definedName name="_C904046">'Schedule_G'!$I$401</definedName>
    <definedName name="_C904047">'Schedule_G'!$I$402</definedName>
    <definedName name="_C904048">'Schedule_G'!$I$403</definedName>
    <definedName name="_C904049">'Schedule_G'!$I$404</definedName>
    <definedName name="_C904050">'Schedule_G'!$I$405</definedName>
    <definedName name="_C904051">'Schedule_G'!$I$406</definedName>
    <definedName name="_C904052">'Schedule_G'!$I$407</definedName>
    <definedName name="_C904053">'Schedule_G'!$I$408</definedName>
    <definedName name="_C904054">'Schedule_G'!$I$409</definedName>
    <definedName name="_C904055">'Schedule_G'!$I$410</definedName>
    <definedName name="_C904056">'Schedule_G'!$I$411</definedName>
    <definedName name="_C904057">'Schedule_G'!$H$392</definedName>
    <definedName name="_C904058">'Schedule_G'!$H$393</definedName>
    <definedName name="_C904059">'Schedule_G'!$H$394</definedName>
    <definedName name="_C904060">'Schedule_G'!$H$395</definedName>
    <definedName name="_C904061">'Schedule_G'!$H$396</definedName>
    <definedName name="_C904062">'Schedule_G'!$H$397</definedName>
    <definedName name="_C904063">'Schedule_G'!$H$398</definedName>
    <definedName name="_C904064">'Schedule_G'!$H$399</definedName>
    <definedName name="_C904065">'Schedule_G'!$H$400</definedName>
    <definedName name="_C904066">'Schedule_G'!$H$401</definedName>
    <definedName name="_C904067">'Schedule_G'!$H$402</definedName>
    <definedName name="_C904068">'Schedule_G'!$H$403</definedName>
    <definedName name="_C904069">'Schedule_G'!$H$404</definedName>
    <definedName name="_C904070">'Schedule_G'!$H$405</definedName>
    <definedName name="_C904071">'Schedule_G'!$H$406</definedName>
    <definedName name="_C904072">'Schedule_G'!$H$407</definedName>
    <definedName name="_C904073">'Schedule_G'!$H$408</definedName>
    <definedName name="_C904074">'Schedule_G'!$H$409</definedName>
    <definedName name="_C904075">'Schedule_G'!$H$410</definedName>
    <definedName name="_C904076">'Schedule_G'!$H$411</definedName>
    <definedName name="_C904077">'Schedule_G'!$G$392</definedName>
    <definedName name="_C904078">'Schedule_G'!$G$393</definedName>
    <definedName name="_C904079">'Schedule_G'!$G$394</definedName>
    <definedName name="_C904080">'Schedule_G'!$G$395</definedName>
    <definedName name="_C904081">'Schedule_G'!$G$396</definedName>
    <definedName name="_C904082">'Schedule_G'!$G$397</definedName>
    <definedName name="_C904083">'Schedule_G'!$G$398</definedName>
    <definedName name="_C904084">'Schedule_G'!$G$399</definedName>
    <definedName name="_C904085">'Schedule_G'!$G$400</definedName>
    <definedName name="_C904086">'Schedule_G'!$G$401</definedName>
    <definedName name="_C904087">'Schedule_G'!$G$402</definedName>
    <definedName name="_C904088">'Schedule_G'!$G$403</definedName>
    <definedName name="_C904089">'Schedule_G'!$G$404</definedName>
    <definedName name="_C904090">'Schedule_G'!$G$405</definedName>
    <definedName name="_C904091">'Schedule_G'!$G$406</definedName>
    <definedName name="_C904092">'Schedule_G'!$G$407</definedName>
    <definedName name="_C904093">'Schedule_G'!$G$408</definedName>
    <definedName name="_C904094">'Schedule_G'!$G$409</definedName>
    <definedName name="_C904095">'Schedule_G'!$G$410</definedName>
    <definedName name="_C904096">'Schedule_G'!$G$411</definedName>
    <definedName name="_C904097">'Schedule_G'!$F$392</definedName>
    <definedName name="_C904098">'Schedule_G'!$F$393</definedName>
    <definedName name="_C904099">'Schedule_G'!$F$394</definedName>
    <definedName name="_C904100">'Schedule_G'!$F$395</definedName>
    <definedName name="_C904101">'Schedule_G'!$F$396</definedName>
    <definedName name="_C904102">'Schedule_G'!$F$397</definedName>
    <definedName name="_C904103">'Schedule_G'!$F$398</definedName>
    <definedName name="_C904104">'Schedule_G'!$F$399</definedName>
    <definedName name="_C904105">'Schedule_G'!$F$400</definedName>
    <definedName name="_C904106">'Schedule_G'!$F$401</definedName>
    <definedName name="_C904107">'Schedule_G'!$F$402</definedName>
    <definedName name="_C904108">'Schedule_G'!$F$403</definedName>
    <definedName name="_C904109">'Schedule_G'!$F$404</definedName>
    <definedName name="_C904110">'Schedule_G'!$F$405</definedName>
    <definedName name="_C904111">'Schedule_G'!$F$406</definedName>
    <definedName name="_C904112">'Schedule_G'!$F$407</definedName>
    <definedName name="_C904113">'Schedule_G'!$F$408</definedName>
    <definedName name="_C904114">'Schedule_G'!$F$409</definedName>
    <definedName name="_C904115">'Schedule_G'!$F$410</definedName>
    <definedName name="_C904116">'Schedule_G'!$F$411</definedName>
    <definedName name="_C904117">'Schedule_N'!$F$8</definedName>
    <definedName name="_C904118">'Schedule_N'!$F$9</definedName>
    <definedName name="_C904119">'Schedule_N'!$F$10</definedName>
    <definedName name="_C904120">'Schedule_N'!$F$11</definedName>
    <definedName name="_C904121">'Schedule_N'!$F$12</definedName>
    <definedName name="_C904122">'Schedule_N'!$F$13</definedName>
    <definedName name="_C904123">'Schedule_N'!$F$14</definedName>
    <definedName name="_C904124">'Schedule_N'!$F$15</definedName>
    <definedName name="_C904125">'Schedule_N'!$F$16</definedName>
    <definedName name="_C904126">'Schedule_N'!$F$17</definedName>
    <definedName name="_C904127">'Schedule_N'!$F$18</definedName>
    <definedName name="_C904128">'Schedule_N'!$F$19</definedName>
    <definedName name="_C904129">'Schedule_N'!$F$20</definedName>
    <definedName name="_C904130">'Schedule_O '!$D$20</definedName>
    <definedName name="_C904131">'Schedule_O '!$E$20</definedName>
    <definedName name="_C904132">'Schedule_O '!$F$20</definedName>
    <definedName name="_C904133">'Schedule_O '!$G$20</definedName>
    <definedName name="_C904134">'Schedule_O '!$H$20</definedName>
    <definedName name="_C904135">'Schedule_O '!$I$20</definedName>
    <definedName name="_C904136">'Schedule_O '!$J$20</definedName>
    <definedName name="_C904137">'Schedule_O '!$K$20</definedName>
    <definedName name="_C904138">'Schedule_O '!$D$34</definedName>
    <definedName name="_C904139">'Schedule_O '!$E$34</definedName>
    <definedName name="_C904140">'Schedule_O '!$F$34</definedName>
    <definedName name="_C904141">'Schedule_O '!$G$34</definedName>
    <definedName name="_C904142">'Schedule_O '!$H$34</definedName>
    <definedName name="_C904143">'Schedule_O '!$I$34</definedName>
    <definedName name="_C904144">'Schedule_O '!$J$34</definedName>
    <definedName name="_C904145">'Schedule_O '!$K$34</definedName>
    <definedName name="_C904146">'Schedule_O '!$L$34</definedName>
    <definedName name="_C904147">'Schedule_O '!$M$34</definedName>
    <definedName name="_C904148">'Schedule_O '!$N$34</definedName>
    <definedName name="_C904149">'Schedule_O '!$D$54</definedName>
    <definedName name="_C904150">'Schedule_O '!$F$54</definedName>
    <definedName name="_C904151">'Schedule_O '!$G$54</definedName>
    <definedName name="_C904152">'Supp Schedule_O-1'!$J$11</definedName>
    <definedName name="_C904153">'Supp Schedule_O-1'!$J$12</definedName>
    <definedName name="_C904154">'Supp Schedule_O-1'!$J$13</definedName>
    <definedName name="_C904155">'Supp Schedule_O-1'!$J$14</definedName>
    <definedName name="_C904156">'Supp Schedule_O-1'!$J$15</definedName>
    <definedName name="_C904157">'Supp Schedule_O-1'!$J$16</definedName>
    <definedName name="_C904158">'Supp Schedule_O-1'!$J$17</definedName>
    <definedName name="_C904159">'Supp Schedule_O-1'!$J$18</definedName>
    <definedName name="_C904160">'Supp Schedule_O-1'!$J$19</definedName>
    <definedName name="_C904161">'Supp Schedule_O-1'!$J$20</definedName>
    <definedName name="_C904162">'Supp Schedule_O-1'!$J$21</definedName>
    <definedName name="_C904163">'Supp Schedule_O-1'!$J$22</definedName>
    <definedName name="_C904164">'Supp Schedule_O-1'!$J$24</definedName>
    <definedName name="_C904168">'Schedule Q'!$G$11</definedName>
    <definedName name="_C904169">'Schedule Q'!$G$12</definedName>
    <definedName name="_C904170">'Schedule Q'!$G$13</definedName>
    <definedName name="_C904171">'Schedule Q'!$G$14</definedName>
    <definedName name="_C904172">'Schedule Q'!$G$15</definedName>
    <definedName name="_C904173">'Schedule Q'!$G$16</definedName>
    <definedName name="_M000001">'Schedule_A'!$B$8</definedName>
    <definedName name="_M000002">'Schedule_A'!$I$8</definedName>
    <definedName name="_M000003">'Schedule_A'!$B$10</definedName>
    <definedName name="_M000004">'Schedule_A'!$F$10</definedName>
    <definedName name="_M000005">'Schedule_A'!$H$10</definedName>
    <definedName name="_M000006">'Schedule_A'!$F$14</definedName>
    <definedName name="_M000007">'Schedule_A'!$I$14</definedName>
    <definedName name="_M000008">'Schedule_A'!$B$14</definedName>
    <definedName name="_M000010">'Schedule_A'!$I$16</definedName>
    <definedName name="_M000011">'Schedule_A'!$B$16</definedName>
    <definedName name="_M000013">'Schedule_A'!$G$16</definedName>
    <definedName name="_M000014">'Schedule_A'!$B$18</definedName>
    <definedName name="_M000015">'Schedule_A'!$F$18</definedName>
    <definedName name="_M000016">'Schedule_A'!$H$18</definedName>
    <definedName name="_M000017">'Schedule_A'!$J$18</definedName>
    <definedName name="_M000018">'Schedule_A'!$B$20</definedName>
    <definedName name="_M000019">'Schedule_A'!$G$20</definedName>
    <definedName name="_M000020">'Schedule_A'!$B$22</definedName>
    <definedName name="_M000021">'Schedule_A'!$F$22</definedName>
    <definedName name="_M000022">'Schedule_A'!$H$22</definedName>
    <definedName name="_M000023">'Schedule_A'!$J$22</definedName>
    <definedName name="_M000024">'Schedule_A'!$B$24</definedName>
    <definedName name="_M000026">'Schedule_A'!$G$24</definedName>
    <definedName name="_M000028">'Schedule_A'!$I$24</definedName>
    <definedName name="_M000029">'Schedule_A'!$B$26</definedName>
    <definedName name="_M000030">'Schedule_A'!$G$26</definedName>
    <definedName name="_M000031">'Schedule_A'!$B$72</definedName>
    <definedName name="_M000032">'Schedule_A'!$D$72</definedName>
    <definedName name="_M000034">'Schedule_A'!$I$72</definedName>
    <definedName name="_M000051">'Schedule_A'!$B$79</definedName>
    <definedName name="_M000052">'Schedule_A'!$E$79</definedName>
    <definedName name="_M000053">'Schedule_A'!$H$79</definedName>
    <definedName name="_M000054">'Schedule_A'!$I$79</definedName>
    <definedName name="_M000055">'Schedule_A'!$J$79</definedName>
    <definedName name="_M000056">'Schedule_A'!$B$81</definedName>
    <definedName name="_M000057">'Schedule_A'!$E$81</definedName>
    <definedName name="_M000058">'Schedule_A'!$H$81</definedName>
    <definedName name="_M000059">'Schedule_A'!$I$81</definedName>
    <definedName name="_M000060">'Schedule_A'!$J$81</definedName>
    <definedName name="_M000061">'Schedule_A'!$B$83</definedName>
    <definedName name="_M000062">'Schedule_A'!$E$83</definedName>
    <definedName name="_M000063">'Schedule_A'!$H$83</definedName>
    <definedName name="_M000064">'Schedule_A'!$I$83</definedName>
    <definedName name="_M000065">'Schedule_A'!$J$83</definedName>
    <definedName name="_M000066">'wksOPT'!$B$14</definedName>
    <definedName name="_M000067">'Schedule_A'!$B$94</definedName>
    <definedName name="_M000068">'Schedule_A'!$E$94</definedName>
    <definedName name="_M000069">'Schedule_A'!$H$94</definedName>
    <definedName name="_M000070">'Schedule_A'!$J$94</definedName>
    <definedName name="_M000071">'Schedule_A'!$B$96</definedName>
    <definedName name="_M000072">'Schedule_A'!$E$96</definedName>
    <definedName name="_M000073">'Schedule_A'!$H$96</definedName>
    <definedName name="_M000074">'Schedule_A'!$J$96</definedName>
    <definedName name="_M000075">'Schedule_A'!$B$98</definedName>
    <definedName name="_M000076">'Schedule_A'!$E$98</definedName>
    <definedName name="_M000077">'Schedule_A'!$H$98</definedName>
    <definedName name="_M000078">'Schedule_A'!$J$98</definedName>
    <definedName name="_M000079">'Schedule_A'!$B$100</definedName>
    <definedName name="_M000080">'Schedule_A'!$E$100</definedName>
    <definedName name="_M000081">'Schedule_A'!$H$100</definedName>
    <definedName name="_M000082">'Schedule_A'!$J$100</definedName>
    <definedName name="_M000083">'Schedule_A'!$B$102</definedName>
    <definedName name="_M000084">'Schedule_A'!$E$102</definedName>
    <definedName name="_M000085">'Schedule_A'!$H$102</definedName>
    <definedName name="_M000086">'Schedule_A'!$J$102</definedName>
    <definedName name="_M000087">'Schedule_A'!$B$104</definedName>
    <definedName name="_M000088">'Schedule_A'!$E$104</definedName>
    <definedName name="_M000089">'Schedule_A'!$H$104</definedName>
    <definedName name="_M000090">'Schedule_A'!$J$104</definedName>
    <definedName name="_M000091">'Schedule_A'!$B$106</definedName>
    <definedName name="_M000092">'Schedule_A'!$E$106</definedName>
    <definedName name="_M000093">'Schedule_A'!$H$106</definedName>
    <definedName name="_M000094">'Schedule_A'!$J$106</definedName>
    <definedName name="_M000095">'Schedule_B'!$C$9</definedName>
    <definedName name="_M000097">'Schedule_G'!$D$367</definedName>
    <definedName name="_M000098">'Schedule_G'!$D$368</definedName>
    <definedName name="_M000099">'Schedule_G'!$D$369</definedName>
    <definedName name="_M000100">'Schedule_G'!$D$370</definedName>
    <definedName name="_M000101">'Schedule_G'!$D$371</definedName>
    <definedName name="_M000102">'Schedule_G'!$D$372</definedName>
    <definedName name="_M000103">'Schedule_G'!$D$373</definedName>
    <definedName name="_M000104">'Schedule_G'!$D$374</definedName>
    <definedName name="_M000105">'Schedule_G'!$D$375</definedName>
    <definedName name="_M000106">'Schedule_G'!$D$376</definedName>
    <definedName name="_M000107">'Schedule_G'!$D$377</definedName>
    <definedName name="_M000108">'Schedule_G'!$D$378</definedName>
    <definedName name="_M000109">'Schedule_G'!$D$379</definedName>
    <definedName name="_M000110">'Schedule_G'!$D$380</definedName>
    <definedName name="_M000111">'Schedule_G'!$D$381</definedName>
    <definedName name="_M000112">'Schedule_G'!$D$382</definedName>
    <definedName name="_M000113">'Schedule_G'!$D$383</definedName>
    <definedName name="_M000114">'Schedule_G'!$D$384</definedName>
    <definedName name="_M000115">'Schedule_G'!$D$385</definedName>
    <definedName name="_M000116">'Schedule_G'!$D$386</definedName>
    <definedName name="_M000117">'Schedule_G'!$D$387</definedName>
    <definedName name="_M000118">'Schedule_G'!$D$388</definedName>
    <definedName name="_M000119">'Schedule_G'!$D$389</definedName>
    <definedName name="_M000120">'Schedule_G'!$D$390</definedName>
    <definedName name="_M000121">'Schedule_G'!$D$391</definedName>
    <definedName name="_M000122">'Schedule_G'!$C$426</definedName>
    <definedName name="_M000123">'Schedule_G'!$C$427</definedName>
    <definedName name="_M000126">'Schedule_G-1'!$C$8</definedName>
    <definedName name="_M000127">'Schedule_G-1'!$C$9</definedName>
    <definedName name="_M000128">'Schedule_G-1'!$C$10</definedName>
    <definedName name="_M000129">'Schedule_G-1'!$D$9</definedName>
    <definedName name="_M000130">'Schedule_G-1'!$E$9</definedName>
    <definedName name="_M000131">'Schedule_G-1'!$F$9</definedName>
    <definedName name="_M000132">'Schedule_G-1'!$C$11</definedName>
    <definedName name="_M000133">'Schedule_G-1'!$C$12</definedName>
    <definedName name="_M000134">'Schedule_G-1'!$C$13</definedName>
    <definedName name="_M000135">'Schedule_G-1'!$D$12</definedName>
    <definedName name="_M000136">'Schedule_G-1'!$E$12</definedName>
    <definedName name="_M000137">'Schedule_G-1'!$F$12</definedName>
    <definedName name="_M000138">'Schedule_G-1'!$C$14</definedName>
    <definedName name="_M000139">'Schedule_G-1'!$C$15</definedName>
    <definedName name="_M000140">'Schedule_G-1'!$C$16</definedName>
    <definedName name="_M000141">'Schedule_G-1'!$D$15</definedName>
    <definedName name="_M000142">'Schedule_G-1'!$E$15</definedName>
    <definedName name="_M000143">'Schedule_G-1'!$F$15</definedName>
    <definedName name="_M000144">'Schedule_G-1'!$C$17</definedName>
    <definedName name="_M000145">'Schedule_G-1'!$C$18</definedName>
    <definedName name="_M000146">'Schedule_G-1'!$C$19</definedName>
    <definedName name="_M000147">'Schedule_G-1'!$D$18</definedName>
    <definedName name="_M000148">'Schedule_G-1'!$E$18</definedName>
    <definedName name="_M000149">'Schedule_G-1'!$F$18</definedName>
    <definedName name="_M000150">'Schedule_G-1'!$C$20</definedName>
    <definedName name="_M000151">'Schedule_G-1'!$C$21</definedName>
    <definedName name="_M000152">'Schedule_G-1'!$C$22</definedName>
    <definedName name="_M000153">'Schedule_G-1'!$D$21</definedName>
    <definedName name="_M000154">'Schedule_G-1'!$E$21</definedName>
    <definedName name="_M000155">'Schedule_G-1'!$F$21</definedName>
    <definedName name="_M000156">'Schedule_G-1'!$C$23</definedName>
    <definedName name="_M000157">'Schedule_G-1'!$C$24</definedName>
    <definedName name="_M000158">'Schedule_G-1'!$C$25</definedName>
    <definedName name="_M000159">'Schedule_G-1'!$D$24</definedName>
    <definedName name="_M000160">'Schedule_G-1'!$E$24</definedName>
    <definedName name="_M000161">'Schedule_G-1'!$F$24</definedName>
    <definedName name="_M000162">'Schedule_G-1'!$C$33</definedName>
    <definedName name="_M000163">'Schedule_G-1'!$D$33</definedName>
    <definedName name="_M000164">'Schedule_G-1'!$E$33</definedName>
    <definedName name="_M000165">'Schedule_G-1'!$G$33</definedName>
    <definedName name="_M000166">'Schedule_G-1'!$C$34</definedName>
    <definedName name="_M000167">'Schedule_G-1'!$D$34</definedName>
    <definedName name="_M000168">'Schedule_G-1'!$E$34</definedName>
    <definedName name="_M000169">'Schedule_G-1'!$G$34</definedName>
    <definedName name="_M000170">'Schedule_G-1'!$C$35</definedName>
    <definedName name="_M000171">'Schedule_G-1'!$D$35</definedName>
    <definedName name="_M000172">'Schedule_G-1'!$E$35</definedName>
    <definedName name="_M000173">'Schedule_G-1'!$G$35</definedName>
    <definedName name="_M000174">'Schedule_G-1'!$C$36</definedName>
    <definedName name="_M000175">'Schedule_G-1'!$D$36</definedName>
    <definedName name="_M000176">'Schedule_G-1'!$E$36</definedName>
    <definedName name="_M000177">'Schedule_G-1'!$G$36</definedName>
    <definedName name="_M000178">'Schedule_G-1'!$C$37</definedName>
    <definedName name="_M000179">'Schedule_G-1'!$D$37</definedName>
    <definedName name="_M000180">'Schedule_G-1'!$E$37</definedName>
    <definedName name="_M000181">'Schedule_G-1'!$G$37</definedName>
    <definedName name="_M000182">'Schedule_G-2'!$E$10</definedName>
    <definedName name="_M000184">'Schedule_G-2'!$D$12</definedName>
    <definedName name="_M000185">'Schedule_G-2'!$E$12</definedName>
    <definedName name="_M000186">'Schedule_G-2'!$F$12</definedName>
    <definedName name="_M000187">'Schedule_G-2'!$D$13</definedName>
    <definedName name="_M000188">'Schedule_G-2'!$E$13</definedName>
    <definedName name="_M000189">'Schedule_G-2'!$F$13</definedName>
    <definedName name="_M000190">'Schedule_G-2'!$D$14</definedName>
    <definedName name="_M000191">'Schedule_G-2'!$E$14</definedName>
    <definedName name="_M000192">'Schedule_G-2'!$F$14</definedName>
    <definedName name="_M000193">'Schedule_G-2'!$D$15</definedName>
    <definedName name="_M000194">'Schedule_G-2'!$E$15</definedName>
    <definedName name="_M000195">'Schedule_G-2'!$F$15</definedName>
    <definedName name="_M000196">'Schedule_G-2'!$D$16</definedName>
    <definedName name="_M000197">'Schedule_G-2'!$E$16</definedName>
    <definedName name="_M000198">'Schedule_G-2'!$F$16</definedName>
    <definedName name="_M000199">'Schedule_G-2'!$D$17</definedName>
    <definedName name="_M000200">'Schedule_G-2'!$E$17</definedName>
    <definedName name="_M000201">'Schedule_G-2'!$F$17</definedName>
    <definedName name="_M000202">'Schedule_G-2'!$D$18</definedName>
    <definedName name="_M000203">'Schedule_G-2'!$E$18</definedName>
    <definedName name="_M000204">'Schedule_G-2'!$F$18</definedName>
    <definedName name="_M000205">'Schedule_G-2'!$D$19</definedName>
    <definedName name="_M000206">'Schedule_G-2'!$E$19</definedName>
    <definedName name="_M000207">'Schedule_G-2'!$F$19</definedName>
    <definedName name="_M000208">'Schedule_G-2'!$D$20</definedName>
    <definedName name="_M000209">'Schedule_G-2'!$E$20</definedName>
    <definedName name="_M000210">'Schedule_G-2'!$F$20</definedName>
    <definedName name="_M000211">'Schedule_G-2'!$D$21</definedName>
    <definedName name="_M000212">'Schedule_G-2'!$E$21</definedName>
    <definedName name="_M000213">'Schedule_G-2'!$F$21</definedName>
    <definedName name="_M000214">'Schedule_G-2'!$D$22</definedName>
    <definedName name="_M000215">'Schedule_G-2'!$E$22</definedName>
    <definedName name="_M000216">'Schedule_G-2'!$F$22</definedName>
    <definedName name="_M000217">'Schedule_G-2'!$D$23</definedName>
    <definedName name="_M000218">'Schedule_G-2'!$E$23</definedName>
    <definedName name="_M000219">'Schedule_G-2'!$F$23</definedName>
    <definedName name="_M000220">'Schedule_G-2'!$D$24</definedName>
    <definedName name="_M000221">'Schedule_G-2'!$E$24</definedName>
    <definedName name="_M000222">'Schedule_G-2'!$F$24</definedName>
    <definedName name="_M000223">'Schedule_G-2'!$D$25</definedName>
    <definedName name="_M000224">'Schedule_G-2'!$E$25</definedName>
    <definedName name="_M000225">'Schedule_G-2'!$F$25</definedName>
    <definedName name="_M000226">'Schedule_G-2'!$D$26</definedName>
    <definedName name="_M000227">'Schedule_G-2'!$E$26</definedName>
    <definedName name="_M000228">'Schedule_G-2'!$F$26</definedName>
    <definedName name="_M000229">'Schedule_G-2'!$D$27</definedName>
    <definedName name="_M000230">'Schedule_G-2'!$E$27</definedName>
    <definedName name="_M000231">'Schedule_G-2'!$F$27</definedName>
    <definedName name="_M000244">'Schedule_A'!$C$115</definedName>
    <definedName name="_M000245">'Schedule_A'!$C$116</definedName>
    <definedName name="_M000246">'Schedule_A'!$C$117</definedName>
    <definedName name="_M000247">'Schedule_A'!$C$118</definedName>
    <definedName name="_M000248">'Schedule_A'!$F$115</definedName>
    <definedName name="_M000249">'Schedule_A'!$J$115</definedName>
    <definedName name="_M000250">'Schedule_A'!$F$116</definedName>
    <definedName name="_M000251">'Schedule_A'!$J$116</definedName>
    <definedName name="_M000252">'Schedule_A'!$F$117</definedName>
    <definedName name="_M000253">'Schedule_A'!$J$117</definedName>
    <definedName name="_M000254">'Schedule_A'!$F$118</definedName>
    <definedName name="_M000255">'Schedule_A'!$J$118</definedName>
    <definedName name="_M000256">'Schedule_A'!$C$120</definedName>
    <definedName name="_M000257">'Schedule_A'!$C$121</definedName>
    <definedName name="_M000258">'Schedule_A'!$C$122</definedName>
    <definedName name="_M000259">'Schedule_A'!$C$123</definedName>
    <definedName name="_M000260">'Schedule_A'!$C$124</definedName>
    <definedName name="_M000261">'Schedule_A'!$F$120</definedName>
    <definedName name="_M000262">'Schedule_A'!$F$121</definedName>
    <definedName name="_M000263">'Schedule_A'!$F$122</definedName>
    <definedName name="_M000264">'Schedule_A'!$F$123</definedName>
    <definedName name="_M000265">'Schedule_A'!$F$124</definedName>
    <definedName name="_M000266">'Schedule_A'!$J$120</definedName>
    <definedName name="_M000267">'Schedule_A'!$J$121</definedName>
    <definedName name="_M000268">'Schedule_A'!$J$122</definedName>
    <definedName name="_M000269">'Schedule_A'!$J$123</definedName>
    <definedName name="_M000270">'Schedule_A'!$J$124</definedName>
    <definedName name="_M000271">'Schedule_A'!$C$125</definedName>
    <definedName name="_M000272">'Schedule_A'!$C$126</definedName>
    <definedName name="_M000273">'Schedule_A'!$C$127</definedName>
    <definedName name="_M000274">'Schedule_A'!$C$128</definedName>
    <definedName name="_M000275">'Schedule_A'!$C$129</definedName>
    <definedName name="_M000276">'Schedule_A'!$F$125</definedName>
    <definedName name="_M000277">'Schedule_A'!$F$126</definedName>
    <definedName name="_M000278">'Schedule_A'!$F$127</definedName>
    <definedName name="_M000279">'Schedule_A'!$F$128</definedName>
    <definedName name="_M000280">'Schedule_A'!$F$129</definedName>
    <definedName name="_M000281">'Schedule_A'!$J$125</definedName>
    <definedName name="_M000282">'Schedule_A'!$J$126</definedName>
    <definedName name="_M000283">'Schedule_A'!$J$127</definedName>
    <definedName name="_M000284">'Schedule_A'!$J$128</definedName>
    <definedName name="_M000285">'Schedule_A'!$J$129</definedName>
    <definedName name="_M000286">'Schedule_A'!$C$134</definedName>
    <definedName name="_M000287">'Schedule_A'!$C$135</definedName>
    <definedName name="_M000288">'Schedule_A'!$C$136</definedName>
    <definedName name="_M000289">'Schedule_A'!$C$137</definedName>
    <definedName name="_M000290">'Schedule_A'!$F$134</definedName>
    <definedName name="_M000291">'Schedule_A'!$J$134</definedName>
    <definedName name="_M000292">'Schedule_A'!$F$135</definedName>
    <definedName name="_M000293">'Schedule_A'!$J$135</definedName>
    <definedName name="_M000294">'Schedule_A'!$F$136</definedName>
    <definedName name="_M000295">'Schedule_A'!$J$136</definedName>
    <definedName name="_M000296">'Schedule_A'!$F$137</definedName>
    <definedName name="_M000297">'Schedule_A'!$J$137</definedName>
    <definedName name="_M000298">'Schedule_A'!$C$139</definedName>
    <definedName name="_M000299">'Schedule_A'!$C$140</definedName>
    <definedName name="_M000300">'Schedule_A'!$C$141</definedName>
    <definedName name="_M000301">'Schedule_A'!$C$142</definedName>
    <definedName name="_M000302">'Schedule_A'!$C$143</definedName>
    <definedName name="_M000303">'Schedule_A'!$F$139</definedName>
    <definedName name="_M000304">'Schedule_A'!$F$140</definedName>
    <definedName name="_M000305">'Schedule_A'!$F$141</definedName>
    <definedName name="_M000306">'Schedule_A'!$F$142</definedName>
    <definedName name="_M000307">'Schedule_A'!$F$143</definedName>
    <definedName name="_M000308">'Schedule_A'!$J$139</definedName>
    <definedName name="_M000309">'Schedule_A'!$J$140</definedName>
    <definedName name="_M000310">'Schedule_A'!$J$141</definedName>
    <definedName name="_M000311">'Schedule_A'!$J$142</definedName>
    <definedName name="_M000312">'Schedule_A'!$J$143</definedName>
    <definedName name="_M000313">'Schedule_A'!$C$144</definedName>
    <definedName name="_M000314">'Schedule_A'!$C$145</definedName>
    <definedName name="_M000315">'Schedule_A'!$C$146</definedName>
    <definedName name="_M000316">'Schedule_A'!$C$147</definedName>
    <definedName name="_M000317">'Schedule_A'!$C$148</definedName>
    <definedName name="_M000318">'Schedule_A'!$F$144</definedName>
    <definedName name="_M000319">'Schedule_A'!$F$145</definedName>
    <definedName name="_M000320">'Schedule_A'!$F$146</definedName>
    <definedName name="_M000330">'Schedule_A'!$F$147</definedName>
    <definedName name="_M000331">'Schedule_A'!$F$148</definedName>
    <definedName name="_M000332">'Schedule_A'!$J$144</definedName>
    <definedName name="_M000333">'Schedule_A'!$J$145</definedName>
    <definedName name="_M000334">'Schedule_A'!$J$146</definedName>
    <definedName name="_M000335">'Schedule_A'!$J$147</definedName>
    <definedName name="_M000336">'Schedule_A'!$J$148</definedName>
    <definedName name="_M000439">'Schedule_A'!$B$165</definedName>
    <definedName name="_M000440">'Schedule_A'!$E$165</definedName>
    <definedName name="_M000441">'Schedule_A'!$I$165</definedName>
    <definedName name="_M000442">'Schedule_A'!$J$165</definedName>
    <definedName name="_M000443">'Schedule_A'!$B$167</definedName>
    <definedName name="_M000444">'Schedule_A'!$E$167</definedName>
    <definedName name="_M000445">'Schedule_A'!$I$167</definedName>
    <definedName name="_M000446">'Schedule_A'!$J$167</definedName>
    <definedName name="_M000447">'Schedule_A'!$B$169</definedName>
    <definedName name="_M000448">'Schedule_A'!$E$169</definedName>
    <definedName name="_M000449">'Schedule_A'!$I$169</definedName>
    <definedName name="_M000450">'Schedule_A'!$J$169</definedName>
    <definedName name="_M000451">'Schedule_A'!$B$171</definedName>
    <definedName name="_M000452">'Schedule_A'!$E$171</definedName>
    <definedName name="_M000453">'Schedule_A'!$I$171</definedName>
    <definedName name="_M000454">'Schedule_A'!$J$171</definedName>
    <definedName name="_M000455">'Schedule_A'!$B$173</definedName>
    <definedName name="_M000456">'Schedule_A'!$E$173</definedName>
    <definedName name="_M000457">'Schedule_A'!$I$173</definedName>
    <definedName name="_M000458">'Schedule_A'!$J$173</definedName>
    <definedName name="_M000459">'Schedule_A'!$B$184</definedName>
    <definedName name="_M000460">'Schedule_A'!$E$184</definedName>
    <definedName name="_M000461">'Schedule_A'!$I$184</definedName>
    <definedName name="_M000462">'Schedule_A'!$J$184</definedName>
    <definedName name="_M000463">'Schedule_A'!$B$186</definedName>
    <definedName name="_M000464">'Schedule_A'!$E$186</definedName>
    <definedName name="_M000465">'Schedule_A'!$I$186</definedName>
    <definedName name="_M000466">'Schedule_A'!$J$186</definedName>
    <definedName name="_M000467">'Schedule_A'!$B$188</definedName>
    <definedName name="_M000468">'Schedule_A'!$E$188</definedName>
    <definedName name="_M000469">'Schedule_A'!$I$188</definedName>
    <definedName name="_M000470">'Schedule_A'!$J$188</definedName>
    <definedName name="_M000471">'Schedule_A'!$B$190</definedName>
    <definedName name="_M000472">'Schedule_A'!$E$190</definedName>
    <definedName name="_M000473">'Schedule_A'!$I$190</definedName>
    <definedName name="_M000474">'Schedule_A'!$J$190</definedName>
    <definedName name="_M000475">'Schedule_A'!$B$201</definedName>
    <definedName name="_M000476">'Schedule_A'!$E$201</definedName>
    <definedName name="_M000477">'Schedule_A'!$I$201</definedName>
    <definedName name="_M000478">'Schedule_A'!$J$201</definedName>
    <definedName name="_M000479">'Schedule_A'!$B$203</definedName>
    <definedName name="_M000480">'Schedule_A'!$E$203</definedName>
    <definedName name="_M000481">'Schedule_A'!$I$203</definedName>
    <definedName name="_M000482">'Schedule_A'!$J$203</definedName>
    <definedName name="_M000483">'Schedule_A'!$B$205</definedName>
    <definedName name="_M000484">'Schedule_A'!$E$205</definedName>
    <definedName name="_M000485">'Schedule_A'!$I$205</definedName>
    <definedName name="_M000486">'Schedule_A'!$J$205</definedName>
    <definedName name="_M000487">'Schedule_A'!$B$207</definedName>
    <definedName name="_M000488">'Schedule_A'!$E$207</definedName>
    <definedName name="_M000489">'Schedule_A'!$I$207</definedName>
    <definedName name="_M000490">'Schedule_A'!$J$207</definedName>
    <definedName name="_M000500">'Schedule_A'!$B$28</definedName>
    <definedName name="_M000501">'Schedule_A'!$E$28</definedName>
    <definedName name="_M000502">'Schedule_A'!$I$28</definedName>
    <definedName name="_M000600">'Schedule_A'!$B$12</definedName>
    <definedName name="_M000601">'Schedule_A'!$F$12</definedName>
    <definedName name="_M000602">'Schedule_A'!$H$12</definedName>
    <definedName name="_M000603">'Schedule_A'!$I$12</definedName>
    <definedName name="_M000604">'Schedule_G-2'!$E$8</definedName>
    <definedName name="_M000605">'Schedule_G-2'!$E$9</definedName>
    <definedName name="_M000606">'Schedule_G-2_HO'!$E$8</definedName>
    <definedName name="_M000607">'Schedule_G-2_HO'!$E$9</definedName>
    <definedName name="_M000608">'Schedule_G-2_HO'!$E$10</definedName>
    <definedName name="_M000609">'Schedule_G-2_HO'!$E$12</definedName>
    <definedName name="_M000610">'Schedule_G-2_HO'!$E$13</definedName>
    <definedName name="_M000611">'Schedule_G-2_HO'!$E$14</definedName>
    <definedName name="_M000612">'Schedule_G-2_HO'!$E$15</definedName>
    <definedName name="_M000613">'Schedule_G-2_HO'!$E$16</definedName>
    <definedName name="_M000614">'Schedule_G-2_HO'!$E$17</definedName>
    <definedName name="_M000615">'Schedule_G-2_HO'!$E$18</definedName>
    <definedName name="_M000616">'Schedule_G-2_HO'!$E$19</definedName>
    <definedName name="_M000617">'Schedule_G-2_HO'!$E$20</definedName>
    <definedName name="_M000618">'Schedule_G-2_HO'!$E$21</definedName>
    <definedName name="_M000619">'Schedule_G-2_HO'!$E$22</definedName>
    <definedName name="_M000620">'Schedule_G-2_HO'!$E$23</definedName>
    <definedName name="_M000621">'Schedule_G-2_HO'!$E$24</definedName>
    <definedName name="_M000622">'Schedule_G-2_HO'!$E$25</definedName>
    <definedName name="_M000623">'Schedule_G-2_HO'!$E$26</definedName>
    <definedName name="_M000624">'Schedule_G-2_HO'!$E$27</definedName>
    <definedName name="_M000625">'Schedule_G-2_HO'!$D$12</definedName>
    <definedName name="_M000626">'Schedule_G-2_HO'!$D$13</definedName>
    <definedName name="_M000627">'Schedule_G-2_HO'!$D$14</definedName>
    <definedName name="_M000628">'Schedule_G-2_HO'!$D$15</definedName>
    <definedName name="_M000629">'Schedule_G-2_HO'!$D$16</definedName>
    <definedName name="_M000630">'Schedule_G-2_HO'!$D$17</definedName>
    <definedName name="_M000631">'Schedule_G-2_HO'!$D$18</definedName>
    <definedName name="_M000632">'Schedule_G-2_HO'!$D$19</definedName>
    <definedName name="_M000633">'Schedule_G-2_HO'!$D$20</definedName>
    <definedName name="_M000634">'Schedule_G-2_HO'!$D$21</definedName>
    <definedName name="_M000635">'Schedule_G-2_HO'!$D$22</definedName>
    <definedName name="_M000636">'Schedule_G-2_HO'!$D$23</definedName>
    <definedName name="_M000637">'Schedule_G-2_HO'!$D$24</definedName>
    <definedName name="_M000638">'Schedule_G-2_HO'!$D$25</definedName>
    <definedName name="_M000639">'Schedule_G-2_HO'!$D$26</definedName>
    <definedName name="_M000640">'Schedule_G-2_HO'!$D$27</definedName>
    <definedName name="_M000641">'Schedule_G-2_HO'!$F$8</definedName>
    <definedName name="_M000642">'Schedule_G-2_HO'!$F$9</definedName>
    <definedName name="_M000643">'Schedule_G-2_HO'!$F$10</definedName>
    <definedName name="_M000644">'Schedule_G-2_HO'!$F$12</definedName>
    <definedName name="_M000645">'Schedule_G-2_HO'!$F$13</definedName>
    <definedName name="_M000646">'Schedule_G-2_HO'!$F$14</definedName>
    <definedName name="_M000647">'Schedule_G-2_HO'!$F$15</definedName>
    <definedName name="_M000648">'Schedule_G-2_HO'!$F$16</definedName>
    <definedName name="_M000649">'Schedule_G-2_HO'!$F$17</definedName>
    <definedName name="_M000650">'Schedule_G-2_HO'!$F$18</definedName>
    <definedName name="_M000651">'Schedule_G-2_HO'!$F$19</definedName>
    <definedName name="_M000652">'Schedule_G-2_HO'!$F$20</definedName>
    <definedName name="_M000653">'Schedule_G-2_HO'!$F$21</definedName>
    <definedName name="_M000654">'Schedule_G-2_HO'!$F$22</definedName>
    <definedName name="_M000655">'Schedule_G-2_HO'!$F$23</definedName>
    <definedName name="_M000656">'Schedule_G-2_HO'!$F$24</definedName>
    <definedName name="_M000657">'Schedule_G-2_HO'!$F$25</definedName>
    <definedName name="_M000658">'Schedule_G-2_HO'!$F$26</definedName>
    <definedName name="_M000659">'Schedule_G-2_HO'!$F$27</definedName>
    <definedName name="_M903278">'Schedule_G-2_HO'!$C$8</definedName>
    <definedName name="_M903279">'Schedule_G-2_HO'!$C$9</definedName>
    <definedName name="_M903280">'Schedule_G-2_HO'!$C$10</definedName>
    <definedName name="_M903281">'Schedule_G-2_HO'!$C$12</definedName>
    <definedName name="_M903282">'Schedule_G-2_HO'!$C$13</definedName>
    <definedName name="_M903283">'Schedule_G-2_HO'!$C$14</definedName>
    <definedName name="_M903284">'Schedule_G-2_HO'!$C$15</definedName>
    <definedName name="_M903285">'Schedule_G-2_HO'!$C$16</definedName>
    <definedName name="_M903286">'Schedule_G-2_HO'!$C$17</definedName>
    <definedName name="_M903287">'Schedule_G-2_HO'!$C$18</definedName>
    <definedName name="_M903288">'Schedule_G-2_HO'!$C$19</definedName>
    <definedName name="_M903289">'Schedule_G-2_HO'!$C$20</definedName>
    <definedName name="_M903290">'Schedule_G-2_HO'!$C$21</definedName>
    <definedName name="_M903291">'Schedule_G-2_HO'!$C$22</definedName>
    <definedName name="_M903292">'Schedule_G-2_HO'!$C$23</definedName>
    <definedName name="_M903293">'Schedule_G-2_HO'!$C$24</definedName>
    <definedName name="_M903294">'Schedule_G-2_HO'!$C$25</definedName>
    <definedName name="_M903295">'Schedule_G-2_HO'!$C$26</definedName>
    <definedName name="_M903296">'Schedule_G-2_HO'!$C$27</definedName>
    <definedName name="_M903297">'Schedule_A'!$G$8</definedName>
    <definedName name="_M903517">'Schedule_A'!$J$72</definedName>
    <definedName name="_M903518">'Schedule_A'!$I$10</definedName>
    <definedName name="_M903519">'Schedule_G-2'!$C$8</definedName>
    <definedName name="_M903520">'Schedule_G-2'!$C$9</definedName>
    <definedName name="_M903521">'Schedule_G-2'!$C$10</definedName>
    <definedName name="_M903522">'Schedule_G-2'!$C$12</definedName>
    <definedName name="_M903523">'Schedule_G-2'!$C$13</definedName>
    <definedName name="_M903524">'Schedule_G-2'!$C$14</definedName>
    <definedName name="_M903525">'Schedule_G-2'!$C$15</definedName>
    <definedName name="_M903526">'Schedule_G-2'!$C$16</definedName>
    <definedName name="_M903527">'Schedule_G-2'!$C$17</definedName>
    <definedName name="_M903528">'Schedule_G-2'!$C$18</definedName>
    <definedName name="_M903529">'Schedule_G-2'!$C$19</definedName>
    <definedName name="_M903530">'Schedule_G-2'!$C$20</definedName>
    <definedName name="_M903531">'Schedule_G-2'!$C$21</definedName>
    <definedName name="_M903532">'Schedule_G-2'!$C$22</definedName>
    <definedName name="_M903533">'Schedule_G-2'!$C$23</definedName>
    <definedName name="_M903534">'Schedule_G-2'!$C$24</definedName>
    <definedName name="_M903535">'Schedule_G-2'!$C$25</definedName>
    <definedName name="_M903536">'Schedule_G-2'!$C$26</definedName>
    <definedName name="_M903537">'Schedule_G-2'!$C$27</definedName>
    <definedName name="_M903538">'Schedule_G'!$D$392</definedName>
    <definedName name="_M903539">'Schedule_G'!$D$393</definedName>
    <definedName name="_M903540">'Schedule_G'!$D$394</definedName>
    <definedName name="_M903541">'Schedule_G'!$D$395</definedName>
    <definedName name="_M903542">'Schedule_G'!$D$396</definedName>
    <definedName name="_M903543">'Schedule_G'!$D$397</definedName>
    <definedName name="_M903544">'Schedule_G'!$D$398</definedName>
    <definedName name="_M903545">'Schedule_G'!$D$399</definedName>
    <definedName name="_M903546">'Schedule_G'!$D$400</definedName>
    <definedName name="_M903547">'Schedule_G'!$D$401</definedName>
    <definedName name="_M903548">'Schedule_G'!$D$402</definedName>
    <definedName name="_M903549">'Schedule_G'!$D$403</definedName>
    <definedName name="_M903550">'Schedule_G'!$D$404</definedName>
    <definedName name="_M903551">'Schedule_G'!$D$405</definedName>
    <definedName name="_M903552">'Schedule_G'!$D$406</definedName>
    <definedName name="_M903553">'Schedule_G'!$D$407</definedName>
    <definedName name="_M903554">'Schedule_G'!$D$408</definedName>
    <definedName name="_M903555">'Schedule_G'!$D$409</definedName>
    <definedName name="_M903556">'Schedule_G'!$D$410</definedName>
    <definedName name="_M903557">'Schedule_G'!$D$411</definedName>
    <definedName name="_M904165">'Schedule Q'!$D$11</definedName>
    <definedName name="_M904166">'Schedule Q'!$E$11</definedName>
    <definedName name="_M904167">'Schedule Q'!$F$11</definedName>
    <definedName name="_M904174">'Schedule Q'!$H$11</definedName>
    <definedName name="_M904175">'Schedule Q'!$H$12</definedName>
    <definedName name="_M904176">'Schedule Q'!$H$13</definedName>
    <definedName name="_M904177">'Schedule Q'!$I$11</definedName>
    <definedName name="_M904178">'Schedule Q'!$I$12</definedName>
    <definedName name="_M904179">'Schedule Q'!$I$13</definedName>
    <definedName name="_M904180">'Schedule Q'!$I$14</definedName>
    <definedName name="_M904181">'Schedule Q'!$I$15</definedName>
    <definedName name="_M904182">'Schedule Q'!$J$11</definedName>
    <definedName name="_M904183">'Schedule Q'!$J$12</definedName>
    <definedName name="_M904184">'Schedule Q'!$J$13</definedName>
    <definedName name="_M904185">'Schedule Q'!$J$14</definedName>
    <definedName name="_M904186">'Schedule Q'!$J$15</definedName>
    <definedName name="_M904187">'Schedule Q'!$K$11</definedName>
    <definedName name="_M904188">'Schedule Q'!$K$12</definedName>
    <definedName name="_M904189">'Schedule Q'!$K$13</definedName>
    <definedName name="_M904190">'Schedule Q'!$K$14</definedName>
    <definedName name="_M904191">'Schedule Q'!$K$15</definedName>
    <definedName name="_M904192">'Schedule Q'!$B$11</definedName>
    <definedName name="_xlfn.IFERROR" hidden="1">#NAME?</definedName>
    <definedName name="_xlfn.IFNA" hidden="1">#NAME?</definedName>
    <definedName name="G2_12">'wksOPT'!$B$2</definedName>
    <definedName name="G4_40">'wksOPT'!$B$3</definedName>
    <definedName name="NAG1_4">'wksOPT'!$B$15</definedName>
    <definedName name="NAG2P1_3">'wksOPT'!$B$16</definedName>
    <definedName name="NAG2P2_3">'wksOPT'!$B$17</definedName>
    <definedName name="NAG4_45">'wksOPT'!$B$18</definedName>
    <definedName name="NAG7_6">'wksOPT'!$B$19</definedName>
    <definedName name="NAH1_6">'wksOPT'!$B$20</definedName>
    <definedName name="NAH3_10">'wksOPT'!$B$21</definedName>
    <definedName name="NAH4_9">'wksOPT'!$B$22</definedName>
    <definedName name="NASSI3_2">'wksOPT'!$B$23</definedName>
    <definedName name="NASSI4_2">'wksOPT'!$B$24</definedName>
    <definedName name="NASSI5_2">'wksOPT'!$B$25</definedName>
    <definedName name="NASSO1_1">'wksOPT'!$B$26</definedName>
    <definedName name="NASSO2_4">'wksOPT'!$B$27</definedName>
    <definedName name="_xlnm.Print_Area" localSheetId="16">'Schedule P'!$A$1:$F$60</definedName>
    <definedName name="_xlnm.Print_Area" localSheetId="17">'Schedule Q'!$A$1:$K$16</definedName>
    <definedName name="_xlnm.Print_Area" localSheetId="1">'Schedule_A'!$A$2:$K$207</definedName>
    <definedName name="_xlnm.Print_Area" localSheetId="2">'Schedule_B'!$A$1:$L$129</definedName>
    <definedName name="_xlnm.Print_Area" localSheetId="3">'Schedule_F'!$A$1:$E$45</definedName>
    <definedName name="_xlnm.Print_Area" localSheetId="4">'Schedule_G'!$A$1:$K$505</definedName>
    <definedName name="_xlnm.Print_Area" localSheetId="5">'Schedule_G-1'!$A$1:$M$39</definedName>
    <definedName name="_xlnm.Print_Area" localSheetId="8">'Schedule_G-2'!$B$1:$H$30</definedName>
    <definedName name="_xlnm.Print_Area" localSheetId="7">'Schedule_G-2_HO'!$B$1:$H$28</definedName>
    <definedName name="_xlnm.Print_Area" localSheetId="9">'Schedule_G-5'!$B$1:$F$60</definedName>
    <definedName name="_xlnm.Print_Area" localSheetId="10">'Schedule_G-7'!$A$1:$L$40</definedName>
    <definedName name="_xlnm.Print_Area" localSheetId="12">'Schedule_L'!$A$1:$C$9</definedName>
    <definedName name="_xlnm.Print_Area" localSheetId="13">'Schedule_M'!$A$1:$I$24</definedName>
    <definedName name="_xlnm.Print_Area" localSheetId="14">'Schedule_N'!$A$1:$L$31</definedName>
    <definedName name="_xlnm.Print_Area" localSheetId="15">'Schedule_O '!$A$1:$O$75</definedName>
    <definedName name="_xlnm.Print_Titles" localSheetId="9">'Schedule_G-5'!$1:$9</definedName>
    <definedName name="SA_18">'wksOPT'!$B$13</definedName>
    <definedName name="SG_322">'wksOPT'!$B$28</definedName>
    <definedName name="SSA_1">'wksOPT'!$B$4</definedName>
    <definedName name="SSA_12">'wksOPT'!$B$6</definedName>
    <definedName name="SSA_7">'wksOPT'!$B$5</definedName>
    <definedName name="SSI4_1">'wksOPT'!$B$7</definedName>
    <definedName name="SSI4_2">'wksOPT'!$B$8</definedName>
    <definedName name="SSI4_3">'wksOPT'!$B$9</definedName>
    <definedName name="SSI4_4">'wksOPT'!$B$10</definedName>
    <definedName name="SSI4_5">'wksOPT'!$B$11</definedName>
    <definedName name="SSI4_6">'wksOPT'!$B$12</definedName>
  </definedNames>
  <calcPr fullCalcOnLoad="1"/>
</workbook>
</file>

<file path=xl/sharedStrings.xml><?xml version="1.0" encoding="utf-8"?>
<sst xmlns="http://schemas.openxmlformats.org/spreadsheetml/2006/main" count="8314" uniqueCount="1150">
  <si>
    <t xml:space="preserve">  </t>
  </si>
  <si>
    <t xml:space="preserve"> </t>
  </si>
  <si>
    <t>Line 1</t>
  </si>
  <si>
    <t>Line 2</t>
  </si>
  <si>
    <t>PATIENT DAY STATISTICS BY MONTH OF SERVICE</t>
  </si>
  <si>
    <t xml:space="preserve">
MONTH</t>
  </si>
  <si>
    <r>
      <t xml:space="preserve">MEDICAID DAYS
LESS SWING
BED DAYS
</t>
    </r>
    <r>
      <rPr>
        <sz val="10"/>
        <rFont val="Times New Roman"/>
        <family val="1"/>
      </rPr>
      <t>(Schedule M, Column 3)</t>
    </r>
  </si>
  <si>
    <t>MEDICARE
PATIENT DAYS</t>
  </si>
  <si>
    <t>PRIVATE
PATIENT DAYS</t>
  </si>
  <si>
    <t>TOTAL
PATIENT DAYS</t>
  </si>
  <si>
    <t>LICENSED BEDS
(Licensed Bed Count by Month)</t>
  </si>
  <si>
    <t>MAXIMUM PATIENT DAYS</t>
  </si>
  <si>
    <t>PERCENT OCCUPANCY</t>
  </si>
  <si>
    <t>DC</t>
  </si>
  <si>
    <t>Direct Care</t>
  </si>
  <si>
    <t>Period Ending</t>
  </si>
  <si>
    <t>Vendor #</t>
  </si>
  <si>
    <t>DAYS</t>
  </si>
  <si>
    <t>LINE
NO.</t>
  </si>
  <si>
    <t>COST CENTER</t>
  </si>
  <si>
    <t>ALLOWABLE
COSTS</t>
  </si>
  <si>
    <t>PATIENT
DAYS</t>
  </si>
  <si>
    <t>COST PER
PATIENT DAY</t>
  </si>
  <si>
    <t>RATES</t>
  </si>
  <si>
    <t>RATE A</t>
  </si>
  <si>
    <t>RATE B</t>
  </si>
  <si>
    <t>RATE C</t>
  </si>
  <si>
    <t>RATE D</t>
  </si>
  <si>
    <t>RATE E</t>
  </si>
  <si>
    <t>RATE F</t>
  </si>
  <si>
    <t>RATE G</t>
  </si>
  <si>
    <t>RATE H</t>
  </si>
  <si>
    <t>Effective Date</t>
  </si>
  <si>
    <t>MEDICAID</t>
  </si>
  <si>
    <t>WEIGHTED</t>
  </si>
  <si>
    <t>PATIENT</t>
  </si>
  <si>
    <t>RATE</t>
  </si>
  <si>
    <t>(Sched. N,</t>
  </si>
  <si>
    <t>Col. 1, Ln 13)</t>
  </si>
  <si>
    <t>.----</t>
  </si>
  <si>
    <t>ACCOUNT DESCRIPTION</t>
  </si>
  <si>
    <t>CALENDAR YEAR AMOUNT</t>
  </si>
  <si>
    <t>PART A - IDENTIFYING THE ALLOCATION AND USE OF PROSHARE FUNDS</t>
  </si>
  <si>
    <t>Total Proshare Funds Received (from state)</t>
  </si>
  <si>
    <t>Total Proshare Funds Returned (to state)</t>
  </si>
  <si>
    <r>
      <t xml:space="preserve">Total Proshare Funds Retained by Public Hospital District </t>
    </r>
    <r>
      <rPr>
        <sz val="10"/>
        <rFont val="Times New Roman"/>
        <family val="1"/>
      </rPr>
      <t>(line 2 - 3)</t>
    </r>
  </si>
  <si>
    <t>PART B - TOTAL PUBLIC HOSPITAL DISTRICT EXPENDITURES OF PROSHARE FUNDS</t>
  </si>
  <si>
    <t>Hospital</t>
  </si>
  <si>
    <t>Other - please detail below</t>
  </si>
  <si>
    <r>
      <t xml:space="preserve">Total Proshare Expenditures </t>
    </r>
    <r>
      <rPr>
        <sz val="10"/>
        <rFont val="Times New Roman"/>
        <family val="1"/>
      </rPr>
      <t>(line 7 + 8 +9)</t>
    </r>
  </si>
  <si>
    <t>PART C - UNSPENT PROSHARE REVENUE</t>
  </si>
  <si>
    <t>Unspent Funds Sitting in Public Hospital Account - please detail below</t>
  </si>
  <si>
    <t>PART D - NURSING HOME PROSHARE EXPENDITURES BY RATE COMPONENT</t>
  </si>
  <si>
    <t>(Note: Any costs in an allowable cost component must be removed on Schedule G- 5)</t>
  </si>
  <si>
    <t>Direct Care - please detail below</t>
  </si>
  <si>
    <t>NURSING HOME MEDICAID PER DIEM PAYMENT RATE</t>
  </si>
  <si>
    <t>(Col. 2 X Col. 3)</t>
  </si>
  <si>
    <t>(Col. 5 - Col. 4)</t>
  </si>
  <si>
    <t>STATE OF WASHINGTON</t>
  </si>
  <si>
    <t>GENERAL INFORMATION AND CERTIFICATION</t>
  </si>
  <si>
    <t>PART A - IDENTIFYING INFORMATION</t>
  </si>
  <si>
    <t>1.  FACILITY NAME</t>
  </si>
  <si>
    <t>CITY</t>
  </si>
  <si>
    <t>ZIP CODE + 4</t>
  </si>
  <si>
    <t>STATE</t>
  </si>
  <si>
    <t>PART B - CERTIFICATION</t>
  </si>
  <si>
    <t>MISREPRESENTATION OR FALSIFICATION OF ANY INFORMATION CONTAINED IN THIS COST REPORT</t>
  </si>
  <si>
    <t>MAY BE PUNISHABLE BY FINE AND/OR IMPRISONMENT UNDER STATE OR FEDERAL LAW.</t>
  </si>
  <si>
    <t xml:space="preserve">STATE OF </t>
  </si>
  <si>
    <r>
      <t xml:space="preserve">COUNTY OF  </t>
    </r>
    <r>
      <rPr>
        <u val="single"/>
        <sz val="10"/>
        <rFont val="Times New Roman"/>
        <family val="1"/>
      </rPr>
      <t xml:space="preserve">                                             </t>
    </r>
  </si>
  <si>
    <t>CERTIFICATION</t>
  </si>
  <si>
    <t xml:space="preserve">I have read the above statement and I have examined the accompanying cost report </t>
  </si>
  <si>
    <t xml:space="preserve">beginning </t>
  </si>
  <si>
    <t>and ending</t>
  </si>
  <si>
    <t>.  In accordance</t>
  </si>
  <si>
    <t>MEDICAID         ONLY</t>
  </si>
  <si>
    <t>Medicaid    
Co-Insurer</t>
  </si>
  <si>
    <t>Other            Co-Insurer</t>
  </si>
  <si>
    <t>PART A</t>
  </si>
  <si>
    <t>PAYERS</t>
  </si>
  <si>
    <t>THERAPY CHARGES</t>
  </si>
  <si>
    <t>PHYSICAL</t>
  </si>
  <si>
    <t>SPEECH</t>
  </si>
  <si>
    <t>OCCUPATIONAL</t>
  </si>
  <si>
    <t>RESPIRATORY</t>
  </si>
  <si>
    <t>MENTAL HEALTH PROFESSIONALS</t>
  </si>
  <si>
    <t>TOTAL ONE-ON-ONE CHARGES</t>
  </si>
  <si>
    <t>COMPUTATION OF ALLOWABLE PORTION</t>
  </si>
  <si>
    <t>TOTAL OTHER</t>
  </si>
  <si>
    <t>MEDICARE PART B (Col. 3 x 20%)</t>
  </si>
  <si>
    <t>TOTAL THERAPY CHARGES FOR MEDICAID ONLY (Col. 2)</t>
  </si>
  <si>
    <t>TOTAL MEDICAID AND MEDICARE PART B THERAPY CHARGES (Line 9 + Line 10)</t>
  </si>
  <si>
    <r>
      <t xml:space="preserve">PERCENTAGE OF MEDICAID &amp; MEDICARE PART B TO TOTAL THERAPY CHARGES (Line 11 / Col.7) </t>
    </r>
    <r>
      <rPr>
        <sz val="9"/>
        <rFont val="Times New Roman"/>
        <family val="1"/>
      </rPr>
      <t>(4 decimal places)</t>
    </r>
  </si>
  <si>
    <t>TOTAL DIRECT ONE-ON-ONE THERAPY EXPENSE</t>
  </si>
  <si>
    <t>Source Document:</t>
  </si>
  <si>
    <t>MEDICAID ALLOWABLE THERAPY EXPENSE (Line 13 x Line 12)</t>
  </si>
  <si>
    <t>MEDICAID PATIENT DAYS (Schedule N, Line 13, Col. 1 plus Col. 2)</t>
  </si>
  <si>
    <t>THERAPY CONSULTANT EXPENSE</t>
  </si>
  <si>
    <r>
      <t xml:space="preserve">TOTAL ASSETS    </t>
    </r>
    <r>
      <rPr>
        <sz val="8"/>
        <rFont val="Times New Roman"/>
        <family val="1"/>
      </rPr>
      <t>(Lines 14 + 39 + 47)</t>
    </r>
  </si>
  <si>
    <r>
      <t>(</t>
    </r>
    <r>
      <rPr>
        <b/>
        <sz val="8"/>
        <rFont val="Times New Roman"/>
        <family val="1"/>
      </rPr>
      <t>NOTE:</t>
    </r>
    <r>
      <rPr>
        <sz val="8"/>
        <rFont val="Times New Roman"/>
        <family val="1"/>
      </rPr>
      <t xml:space="preserve">  Line 48 must equal Line 81)</t>
    </r>
  </si>
  <si>
    <t>LIABILITIES AND EQUITY</t>
  </si>
  <si>
    <t>CURRENT LIABILITIES</t>
  </si>
  <si>
    <t>Accounts Payable</t>
  </si>
  <si>
    <t>Notes Payable</t>
  </si>
  <si>
    <t>Accrued Payroll and 
     Related Liabilities</t>
  </si>
  <si>
    <t>TOTAL NON-CURRENT ASSETS</t>
  </si>
  <si>
    <t>(Lines 41 through 46)</t>
  </si>
  <si>
    <t>Physical Therapy</t>
  </si>
  <si>
    <t>Speech Therapy</t>
  </si>
  <si>
    <t>Occupational Therapy</t>
  </si>
  <si>
    <r>
      <t xml:space="preserve">Other Therapy </t>
    </r>
    <r>
      <rPr>
        <sz val="8"/>
        <rFont val="Times New Roman"/>
        <family val="1"/>
      </rPr>
      <t>(Attach Schedule)</t>
    </r>
  </si>
  <si>
    <t>Physician Care</t>
  </si>
  <si>
    <t>Pharmacy</t>
  </si>
  <si>
    <t>Nursing Supplies</t>
  </si>
  <si>
    <t>Equipment Rental</t>
  </si>
  <si>
    <t>Patient Activities</t>
  </si>
  <si>
    <t>Laboratory and Radiology</t>
  </si>
  <si>
    <t>Expanded Community Services and Community Home Project</t>
  </si>
  <si>
    <t>Oxygen</t>
  </si>
  <si>
    <r>
      <t xml:space="preserve">Other Patient Revenue </t>
    </r>
    <r>
      <rPr>
        <sz val="8"/>
        <rFont val="Times New Roman"/>
        <family val="1"/>
      </rPr>
      <t>(Attach Schedule)</t>
    </r>
  </si>
  <si>
    <t>Respite Care</t>
  </si>
  <si>
    <t>Mental Health</t>
  </si>
  <si>
    <r>
      <t xml:space="preserve">Supplementation </t>
    </r>
    <r>
      <rPr>
        <sz val="8"/>
        <rFont val="Times New Roman"/>
        <family val="1"/>
      </rPr>
      <t>(Attach Schedule)</t>
    </r>
  </si>
  <si>
    <t>Hold Room</t>
  </si>
  <si>
    <t>TOTAL OTHER PATIENT REVENUE</t>
  </si>
  <si>
    <t>OTHER OPERATING REVENUE</t>
  </si>
  <si>
    <t>Laundry</t>
  </si>
  <si>
    <t>Meals</t>
  </si>
  <si>
    <t>Vending Machines</t>
  </si>
  <si>
    <t>Barber &amp; Beauty Shop</t>
  </si>
  <si>
    <t>Gift Shop</t>
  </si>
  <si>
    <t>Patient Telephone</t>
  </si>
  <si>
    <t>Property Rental</t>
  </si>
  <si>
    <r>
      <t xml:space="preserve">Other Operating Revenue </t>
    </r>
    <r>
      <rPr>
        <sz val="8"/>
        <rFont val="Times New Roman"/>
        <family val="1"/>
      </rPr>
      <t>(Attach Schedule)</t>
    </r>
  </si>
  <si>
    <t>TOTAL OTHER OPERATING REVENUE</t>
  </si>
  <si>
    <t>NON-OPERATING REVENUE</t>
  </si>
  <si>
    <t>Gain on Sale of Fixed Assets</t>
  </si>
  <si>
    <t>Interest Income</t>
  </si>
  <si>
    <t>Dividend Income</t>
  </si>
  <si>
    <r>
      <t xml:space="preserve">Other Non-Operating Revenue 
</t>
    </r>
    <r>
      <rPr>
        <sz val="8"/>
        <rFont val="Times New Roman"/>
        <family val="1"/>
      </rPr>
      <t>(Attach Schedule)</t>
    </r>
  </si>
  <si>
    <t>TOTAL NON-OPERATING REVENUE</t>
  </si>
  <si>
    <r>
      <t xml:space="preserve">REVENUE DEDUCTIONS </t>
    </r>
    <r>
      <rPr>
        <sz val="8"/>
        <rFont val="Times New Roman"/>
        <family val="1"/>
      </rPr>
      <t>(Attach Schedule)</t>
    </r>
  </si>
  <si>
    <t>TOTAL REVENUE</t>
  </si>
  <si>
    <t>DIRECT CARE EXPENSES</t>
  </si>
  <si>
    <t>HOURS</t>
  </si>
  <si>
    <t>IN-HOUSE SERVICE</t>
  </si>
  <si>
    <t>DNS</t>
  </si>
  <si>
    <t>RN</t>
  </si>
  <si>
    <t>LPN</t>
  </si>
  <si>
    <t>Activities Director &amp; Assistants</t>
  </si>
  <si>
    <t>Medical Director</t>
  </si>
  <si>
    <t>Pharmaceutical</t>
  </si>
  <si>
    <t>Social Worker</t>
  </si>
  <si>
    <t>Medical Records</t>
  </si>
  <si>
    <r>
      <t xml:space="preserve">Dues and Subscriptions </t>
    </r>
    <r>
      <rPr>
        <sz val="8"/>
        <rFont val="Times New Roman"/>
        <family val="1"/>
      </rPr>
      <t xml:space="preserve"> (Attach Schedule)</t>
    </r>
  </si>
  <si>
    <t>Education &amp; In-Service Training</t>
  </si>
  <si>
    <t>Insurance</t>
  </si>
  <si>
    <r>
      <t>Miscellaneous Taxes</t>
    </r>
    <r>
      <rPr>
        <sz val="8"/>
        <rFont val="Times New Roman"/>
        <family val="1"/>
      </rPr>
      <t xml:space="preserve"> (Attach Schedule)</t>
    </r>
  </si>
  <si>
    <r>
      <t xml:space="preserve">Advertising       </t>
    </r>
    <r>
      <rPr>
        <sz val="8"/>
        <rFont val="Times New Roman"/>
        <family val="1"/>
      </rPr>
      <t>(Attach Schedule)</t>
    </r>
  </si>
  <si>
    <t>Group Retro Expenses</t>
  </si>
  <si>
    <t>Office Equipment Lease Payment</t>
  </si>
  <si>
    <t>(Attach Schedule)</t>
  </si>
  <si>
    <r>
      <t xml:space="preserve">Licenses      </t>
    </r>
    <r>
      <rPr>
        <sz val="8"/>
        <rFont val="Times New Roman"/>
        <family val="1"/>
      </rPr>
      <t>(Attach Schedule)</t>
    </r>
  </si>
  <si>
    <r>
      <t xml:space="preserve">BAD DEBTS </t>
    </r>
    <r>
      <rPr>
        <sz val="8"/>
        <rFont val="Times New Roman"/>
        <family val="1"/>
      </rPr>
      <t>(Schedule G-8, Line 9)</t>
    </r>
    <r>
      <rPr>
        <sz val="12"/>
        <rFont val="Times New Roman"/>
        <family val="1"/>
      </rPr>
      <t xml:space="preserve"> </t>
    </r>
  </si>
  <si>
    <t>TOTAL ADMINISTRATIVE</t>
  </si>
  <si>
    <t>MAINTENANCE</t>
  </si>
  <si>
    <r>
      <t>Allocated Expenses</t>
    </r>
    <r>
      <rPr>
        <sz val="8"/>
        <rFont val="Times New Roman"/>
        <family val="1"/>
      </rPr>
      <t xml:space="preserve"> (Schedule G-2)</t>
    </r>
  </si>
  <si>
    <t>TOTAL MAINTENANCE</t>
  </si>
  <si>
    <t>OTHER PROPERTY</t>
  </si>
  <si>
    <t>Utilities</t>
  </si>
  <si>
    <t>Property Insurance</t>
  </si>
  <si>
    <t>Real Estate Taxes</t>
  </si>
  <si>
    <t>Personal Property Taxes</t>
  </si>
  <si>
    <r>
      <t>Allocated Expense</t>
    </r>
    <r>
      <rPr>
        <sz val="12"/>
        <rFont val="Times New Roman"/>
        <family val="1"/>
      </rPr>
      <t>s</t>
    </r>
    <r>
      <rPr>
        <sz val="8"/>
        <rFont val="Times New Roman"/>
        <family val="1"/>
      </rPr>
      <t xml:space="preserve"> (Schedule G-2)</t>
    </r>
  </si>
  <si>
    <t>Minor Equipment</t>
  </si>
  <si>
    <r>
      <t xml:space="preserve">Other  </t>
    </r>
    <r>
      <rPr>
        <sz val="8"/>
        <rFont val="Times New Roman"/>
        <family val="1"/>
      </rPr>
      <t>(Attach Schedule)</t>
    </r>
  </si>
  <si>
    <r>
      <t xml:space="preserve">Incidental Rentals  </t>
    </r>
    <r>
      <rPr>
        <sz val="8"/>
        <rFont val="Times New Roman"/>
        <family val="1"/>
      </rPr>
      <t>(Attach Schedule)</t>
    </r>
  </si>
  <si>
    <t>TOTAL OTHER PROPERTY</t>
  </si>
  <si>
    <t>TOTAL ROUTINE EXPENSES</t>
  </si>
  <si>
    <t>TOTAL LIABILITIES AND EQUITY</t>
  </si>
  <si>
    <r>
      <t>(Lines 59 + 68 + 80)  (</t>
    </r>
    <r>
      <rPr>
        <b/>
        <sz val="8"/>
        <rFont val="Times New Roman"/>
        <family val="1"/>
      </rPr>
      <t>NOTE:</t>
    </r>
    <r>
      <rPr>
        <sz val="8"/>
        <rFont val="Times New Roman"/>
        <family val="1"/>
      </rPr>
      <t xml:space="preserve">  Line 81 must equal Line 48)</t>
    </r>
  </si>
  <si>
    <t>Line No.</t>
  </si>
  <si>
    <t>(8)</t>
  </si>
  <si>
    <t>(9)</t>
  </si>
  <si>
    <t>(10)</t>
  </si>
  <si>
    <t>(11)</t>
  </si>
  <si>
    <t>TOTAL</t>
  </si>
  <si>
    <t xml:space="preserve">PRIVATE BED-HOLD CHARGE PER PATIENT DAY - </t>
  </si>
  <si>
    <t xml:space="preserve">AVERAGE CHARGE TO PRIVATE PATIENTS (WAC 388-96-760) - </t>
  </si>
  <si>
    <t xml:space="preserve">(Show on Schedule F how Average Charge to Private Patients was calculated)  </t>
  </si>
  <si>
    <t>CURRENT YEAR</t>
  </si>
  <si>
    <t>A</t>
  </si>
  <si>
    <t>G</t>
  </si>
  <si>
    <t>AMOUNT</t>
  </si>
  <si>
    <t>NOTES TO FINANCIAL STATEMENTS</t>
  </si>
  <si>
    <t>1.  Schedules which support account balances should be attached to Schedule G.</t>
  </si>
  <si>
    <t>2.  Notes to financial statements must include a Schedule of Charges to Private Patients.</t>
  </si>
  <si>
    <t>REFERENCE</t>
  </si>
  <si>
    <t>ITEMIZED LIST OF REVENUE AND EXPENSES</t>
  </si>
  <si>
    <t>REVENUE</t>
  </si>
  <si>
    <t>Line</t>
  </si>
  <si>
    <t>ADJUSTED</t>
  </si>
  <si>
    <t>SCHEDULE G-5 ADJUSTMENT NUMBERS FOR COLUMNS 3 AND 4</t>
  </si>
  <si>
    <t>No.</t>
  </si>
  <si>
    <t>NUMBER</t>
  </si>
  <si>
    <t>PER BOOKS</t>
  </si>
  <si>
    <t>ROUTINE CARE REVENUE</t>
  </si>
  <si>
    <t>Medicare</t>
  </si>
  <si>
    <t>Medicaid</t>
  </si>
  <si>
    <t>Private</t>
  </si>
  <si>
    <r>
      <t xml:space="preserve">Other Routine Care </t>
    </r>
    <r>
      <rPr>
        <sz val="8"/>
        <rFont val="Times New Roman"/>
        <family val="1"/>
      </rPr>
      <t>(Attach Schedule)</t>
    </r>
  </si>
  <si>
    <t>TOTAL ROUTINE REVENUE</t>
  </si>
  <si>
    <t>OTHER PATIENT REVENUE</t>
  </si>
  <si>
    <t>MEDICAID BAD DEBTS (included in line 1) CLAIMED AS UNCOLLECTABLE IN PRIOR COST REPORTS</t>
  </si>
  <si>
    <t>PROJECTED COLLECTIBLES FROM LINE (1)</t>
  </si>
  <si>
    <t>5.</t>
  </si>
  <si>
    <t>6.</t>
  </si>
  <si>
    <t>MEDICAID PATIENT DAYS (Schedule N, line 13, columns 1 &amp; 2)</t>
  </si>
  <si>
    <t>7.</t>
  </si>
  <si>
    <t>MEDICAID BAD DEBTS PER MEDICAID PATIENT DAY                               (Line 5 divided by line 6)</t>
  </si>
  <si>
    <t>8.</t>
  </si>
  <si>
    <t>Total</t>
  </si>
  <si>
    <t>SUMMARY OF MEDICAID PATIENT DAYS AND INTERIM PAYMENTS</t>
  </si>
  <si>
    <t>MONTH</t>
  </si>
  <si>
    <t>SWING BED
DAYS</t>
  </si>
  <si>
    <t>PAYMENTS FOR
SWING BEDS</t>
  </si>
  <si>
    <t>MEDICAID
PAYMENTS LESS
SWING BED PAYMENTS
(Column 4 - Column 5)</t>
  </si>
  <si>
    <t>JANUARY</t>
  </si>
  <si>
    <t>FEBRUARY</t>
  </si>
  <si>
    <t>MARCH</t>
  </si>
  <si>
    <t>APRIL</t>
  </si>
  <si>
    <t>MAY</t>
  </si>
  <si>
    <t>JUNE</t>
  </si>
  <si>
    <t>JULY</t>
  </si>
  <si>
    <t>AUGUST</t>
  </si>
  <si>
    <t>SEPTEMBER</t>
  </si>
  <si>
    <t>OCTOBER</t>
  </si>
  <si>
    <t>NOVEMBER</t>
  </si>
  <si>
    <t>DECEMBER</t>
  </si>
  <si>
    <t>RETROACTIVE RATE
INCREASE/RECOUPMENTS</t>
  </si>
  <si>
    <t>COST PER</t>
  </si>
  <si>
    <t>PRELIMINARY
SETTLEMENT</t>
  </si>
  <si>
    <t>PATIENT DAY
(Part A, Col. 3)</t>
  </si>
  <si>
    <t>PAID MEDICAID PATIENT DAYS (Schedule N, Column 1, Line 13)</t>
  </si>
  <si>
    <t>Unallowable - please detail below</t>
  </si>
  <si>
    <t>Notes (or Details)</t>
  </si>
  <si>
    <t>PART A - JOINT FACILITY (Chain)</t>
  </si>
  <si>
    <t>PART A - JOINT FACILITY (Combination / Other Shared Costs)</t>
  </si>
  <si>
    <t>List the names, addresses, percent ownership, and acquisition date of individuals or organizations that DIRECTLY</t>
  </si>
  <si>
    <t>OWN A 5% or greater interest in the operating entity.  (Attach schedule if necessary).</t>
  </si>
  <si>
    <t>% Owned</t>
  </si>
  <si>
    <t>OWN A 5% or greater interest in the organization owning property.  (Attach schedule if necessary).</t>
  </si>
  <si>
    <r>
      <t xml:space="preserve">HOME OFFICE ALLOCATED SERVICES AND EXPENSES 
</t>
    </r>
    <r>
      <rPr>
        <b/>
        <sz val="10"/>
        <rFont val="Arial"/>
        <family val="2"/>
      </rPr>
      <t>(This schedule should only contain Home/Central Office allocations.  All other allocations must be reported on Schedule G-2.)</t>
    </r>
  </si>
  <si>
    <r>
      <t xml:space="preserve">ALL OTHER ALLOCATED SERVICES AND EXPENSES 
</t>
    </r>
    <r>
      <rPr>
        <b/>
        <sz val="10"/>
        <rFont val="Arial"/>
        <family val="2"/>
      </rPr>
      <t>(Home/Central Office Costs are now excluded from this schedule and reported separately on Schedule G-2, HO.)</t>
    </r>
  </si>
  <si>
    <t>NAHOG2P1_3</t>
  </si>
  <si>
    <t>NAHOG2P2_3</t>
  </si>
  <si>
    <t xml:space="preserve">Contractor, or where the contractor is a legal entity, a partner, </t>
  </si>
  <si>
    <t>officer, or official</t>
  </si>
  <si>
    <t xml:space="preserve">Printed Name and Title </t>
  </si>
  <si>
    <t>Date</t>
  </si>
  <si>
    <t>Return to:</t>
  </si>
  <si>
    <t>DEPARTMENT OF SOCIAL AND HEALTH SERVICES</t>
  </si>
  <si>
    <t>Nursing Home Rates Section</t>
  </si>
  <si>
    <t>Post Office Box 45600</t>
  </si>
  <si>
    <t>Olympia, WA   98504-5600</t>
  </si>
  <si>
    <t>Period Ending:</t>
  </si>
  <si>
    <t>Vendor #:</t>
  </si>
  <si>
    <t>PART C - OPERATOR (Named on DSHS License)</t>
  </si>
  <si>
    <t>List the name, address, and acquisition date of individual or organization of the operating entity named on the DSHS contract.</t>
  </si>
  <si>
    <t>Address</t>
  </si>
  <si>
    <t>Acquisition Date</t>
  </si>
  <si>
    <t>PART D - PROPERTY OWNERSHIP</t>
  </si>
  <si>
    <t>List the name(s) and address(es) of the owner(s) of the LAND, BUILDING, AND EQUIPMENT, the owner's relationship with the contractor (i.e., same,</t>
  </si>
  <si>
    <t>NAME OF HOME OFFICE PROVIDING SERVICES</t>
  </si>
  <si>
    <t>lessor, management agreement, subsidiary), asset type and the acquisition date.</t>
  </si>
  <si>
    <r>
      <t>*</t>
    </r>
    <r>
      <rPr>
        <sz val="8"/>
        <rFont val="Times New Roman"/>
        <family val="1"/>
      </rPr>
      <t xml:space="preserve"> Relationship</t>
    </r>
  </si>
  <si>
    <t>Asset Type</t>
  </si>
  <si>
    <t xml:space="preserve">  *  IF LESSOR, THEN IS THIS A RELATED PARTY LEASE?</t>
  </si>
  <si>
    <t>PART E - OTHER ORGANIZATIONS CONTROLLED BY OPERATOR(S)</t>
  </si>
  <si>
    <t>List the names, addresses, nature of control, and acquisition date of all organizations that the operating entity DIRECTLY OR INDIRECTLY controls</t>
  </si>
  <si>
    <t>or in which the operating entity is beneficial owner.  For each, state the nature of the control.</t>
  </si>
  <si>
    <t>Nature of Control</t>
  </si>
  <si>
    <t xml:space="preserve">31.  Name </t>
  </si>
  <si>
    <t xml:space="preserve">32.  Name </t>
  </si>
  <si>
    <t>Accum. Deprec. - Building Improv.</t>
  </si>
  <si>
    <t>Accum. Deprec. - Fixed Equipment</t>
  </si>
  <si>
    <t>Accum. Deprec. - Move. Equipment</t>
  </si>
  <si>
    <t>Accum. Deprec. - Vehicles</t>
  </si>
  <si>
    <t>Accum. Deprec. - Other Equipment</t>
  </si>
  <si>
    <t>Accum. Deprec. - Leasehold Improv.</t>
  </si>
  <si>
    <t>TOTAL ACCUMULATED DEPRECIATION</t>
  </si>
  <si>
    <t>(Lines 26 through 33)</t>
  </si>
  <si>
    <t>NET BOOK VALUE - FACILITY ASSETS</t>
  </si>
  <si>
    <t>(Line 25 plus Line 34)</t>
  </si>
  <si>
    <t>CURRENT YEAR PER
BOOKS</t>
  </si>
  <si>
    <t>Construction in Progress</t>
  </si>
  <si>
    <t>Home Office Depreciable Assets</t>
  </si>
  <si>
    <t>Accumulated Depreciation - 
Home Office Assets</t>
  </si>
  <si>
    <t>NET PROPERTY, PLANT AND EQUIPMENT</t>
  </si>
  <si>
    <t>(Lines 35 through 38)</t>
  </si>
  <si>
    <t>NON-CURRENT ASSETS</t>
  </si>
  <si>
    <t>Long-Term Investments</t>
  </si>
  <si>
    <t>Intercompany Receivables</t>
  </si>
  <si>
    <t>Unamortized Start-Up Costs</t>
  </si>
  <si>
    <t>Goodwill</t>
  </si>
  <si>
    <t>Home Office Non-Current Assets</t>
  </si>
  <si>
    <r>
      <t xml:space="preserve">Other    </t>
    </r>
    <r>
      <rPr>
        <sz val="8"/>
        <rFont val="Times New Roman"/>
        <family val="1"/>
      </rPr>
      <t>(Attach Schedule)</t>
    </r>
  </si>
  <si>
    <t>TOTAL IN-HOUSE SALARIES &amp; HOURS</t>
  </si>
  <si>
    <t>Other Fringe Benefits</t>
  </si>
  <si>
    <t>Payroll Taxes</t>
  </si>
  <si>
    <t>PURCHASED SERVICES</t>
  </si>
  <si>
    <r>
      <t xml:space="preserve">Other           </t>
    </r>
    <r>
      <rPr>
        <sz val="8"/>
        <rFont val="Times New Roman"/>
        <family val="1"/>
      </rPr>
      <t>(Attach Schedule)</t>
    </r>
  </si>
  <si>
    <t>TOTAL PURCHASED SERVICES</t>
  </si>
  <si>
    <r>
      <t xml:space="preserve">ALLOCATED SERVICES </t>
    </r>
    <r>
      <rPr>
        <sz val="8"/>
        <rFont val="Times New Roman"/>
        <family val="1"/>
      </rPr>
      <t>(Schedule G-2)</t>
    </r>
  </si>
  <si>
    <t>TOTAL ALLOCATED SERVICES</t>
  </si>
  <si>
    <r>
      <t xml:space="preserve">Other Allocated Expenses </t>
    </r>
    <r>
      <rPr>
        <sz val="8"/>
        <rFont val="Times New Roman"/>
        <family val="1"/>
      </rPr>
      <t>(Schedule G-2)</t>
    </r>
  </si>
  <si>
    <t>FOOD</t>
  </si>
  <si>
    <t>LAUNDRY</t>
  </si>
  <si>
    <t>Salaries and Wages</t>
  </si>
  <si>
    <t>Fringe Benefits</t>
  </si>
  <si>
    <t>Purchased Services</t>
  </si>
  <si>
    <r>
      <t xml:space="preserve">Allocated Services </t>
    </r>
    <r>
      <rPr>
        <sz val="8"/>
        <rFont val="Times New Roman"/>
        <family val="1"/>
      </rPr>
      <t>(Schedule G-2)</t>
    </r>
  </si>
  <si>
    <r>
      <t xml:space="preserve">Allocated Expenses </t>
    </r>
    <r>
      <rPr>
        <sz val="8"/>
        <rFont val="Times New Roman"/>
        <family val="1"/>
      </rPr>
      <t>(Schedule G-2)</t>
    </r>
  </si>
  <si>
    <t>TOTAL LAUNDRY</t>
  </si>
  <si>
    <t>HOUSEKEEPING</t>
  </si>
  <si>
    <t>TOTAL HOUSEKEEPING</t>
  </si>
  <si>
    <t>DIETARY</t>
  </si>
  <si>
    <t>TOTAL DIETARY</t>
  </si>
  <si>
    <t>GENERAL AND ADMINISTRATIVE</t>
  </si>
  <si>
    <t>IN-HOUSE SALARIES</t>
  </si>
  <si>
    <t>Administrator</t>
  </si>
  <si>
    <t>Assistant Administrator</t>
  </si>
  <si>
    <t>Administrator in Training</t>
  </si>
  <si>
    <t>Supply/Ward Clerks</t>
  </si>
  <si>
    <t>Accounting/Bookkeeping *</t>
  </si>
  <si>
    <r>
      <t xml:space="preserve">Legal           </t>
    </r>
    <r>
      <rPr>
        <sz val="8"/>
        <rFont val="Times New Roman"/>
        <family val="1"/>
      </rPr>
      <t>(Attach Schedule)</t>
    </r>
  </si>
  <si>
    <t>TOTAL IN-HOUSE SALARIES</t>
  </si>
  <si>
    <t>1.</t>
  </si>
  <si>
    <t>2.</t>
  </si>
  <si>
    <t>3.</t>
  </si>
  <si>
    <t>4.</t>
  </si>
  <si>
    <t>OTHER PATIENT EXPENSES (NON-ROUTINE)*</t>
  </si>
  <si>
    <t>PHYSICAL THERAPY</t>
  </si>
  <si>
    <t>TOTAL PHYSICAL THERAPY</t>
  </si>
  <si>
    <t>SPEECH THERAPY</t>
  </si>
  <si>
    <t>TOTAL SPEECH THERAPY</t>
  </si>
  <si>
    <t>OCCUPATIONAL THERAPY</t>
  </si>
  <si>
    <t>TOTAL OCCUPATIONAL THERAPY</t>
  </si>
  <si>
    <t>OTHER THERAPY</t>
  </si>
  <si>
    <t>TOTAL OTHER THERAPY</t>
  </si>
  <si>
    <t>MENTAL HEALTH</t>
  </si>
  <si>
    <t>TOTAL MENTAL HEALTH CARE</t>
  </si>
  <si>
    <t>Explain why the above are reported as transactions with related organizations rather than allocated costs on Schedule G-2. (Attach additional sheets as needed):</t>
  </si>
  <si>
    <t>Part B - OWNER AND RELATIVE COMPENSATION [1]</t>
  </si>
  <si>
    <t xml:space="preserve">    SERVICES PERFORMED</t>
  </si>
  <si>
    <t>COST REPORT</t>
  </si>
  <si>
    <t>NAME 
(Last, first)</t>
  </si>
  <si>
    <t>RELATION-SHIP</t>
  </si>
  <si>
    <t>DESCRIPTION</t>
  </si>
  <si>
    <t>HOURS 
[2]</t>
  </si>
  <si>
    <t>ACCOUNT 
NUMBER</t>
  </si>
  <si>
    <t>SALARY</t>
  </si>
  <si>
    <t>FRINGE
BENEFITS</t>
  </si>
  <si>
    <t>PAYMENTS 
&amp; BENEFITS</t>
  </si>
  <si>
    <t>TOTAL 
COMPENSATION</t>
  </si>
  <si>
    <t>AMOUNT 
UNALLOWABLE</t>
  </si>
  <si>
    <t>[2] Total hours during report period</t>
  </si>
  <si>
    <t>Option Buttons</t>
  </si>
  <si>
    <t>G2_12</t>
  </si>
  <si>
    <t>G4_40</t>
  </si>
  <si>
    <t>SSA_1</t>
  </si>
  <si>
    <t>SSA_7</t>
  </si>
  <si>
    <t>SSA_12</t>
  </si>
  <si>
    <t>SSI4_1</t>
  </si>
  <si>
    <t>SS14_2</t>
  </si>
  <si>
    <t>SSI4_3</t>
  </si>
  <si>
    <t>SSI4_4</t>
  </si>
  <si>
    <t>SSI4_5</t>
  </si>
  <si>
    <t>SSI4_6</t>
  </si>
  <si>
    <t>SA_18</t>
  </si>
  <si>
    <t>_M000066</t>
  </si>
  <si>
    <t>NAG1_4</t>
  </si>
  <si>
    <t>NAG2P1_3</t>
  </si>
  <si>
    <t>NAG2P2_3</t>
  </si>
  <si>
    <t>NAG4_45</t>
  </si>
  <si>
    <t>NAG7_6</t>
  </si>
  <si>
    <t>NAH1_6</t>
  </si>
  <si>
    <t>NAH3_10</t>
  </si>
  <si>
    <t>NAH4_9</t>
  </si>
  <si>
    <t>NASSI3_2</t>
  </si>
  <si>
    <t>NASSI4_2</t>
  </si>
  <si>
    <t>NASSI5_2</t>
  </si>
  <si>
    <t>NASSO1_1</t>
  </si>
  <si>
    <t>NASSO2_4</t>
  </si>
  <si>
    <t>SG_322</t>
  </si>
  <si>
    <t>TOTAL COST TO BE ALLOCATED</t>
  </si>
  <si>
    <t xml:space="preserve">TOTAL:  </t>
  </si>
  <si>
    <t>EXPANDED COMMUNITY SERVICES AND COMMUNITY HOME PROJECT</t>
  </si>
  <si>
    <t>TOTAL EXPANDED COMMUNITY SERVICES AND COMMUNITY HOME PROJECT</t>
  </si>
  <si>
    <t>* For financial statement purposes only.  For reimbursement of therapy costs and exceptional care and Extended Community Services costs, complete Schedules G-7 and O-1 respectively.</t>
  </si>
  <si>
    <t>OTHER OPERATING EXPENSES (UNALLOWABLE)</t>
  </si>
  <si>
    <t>Other Unallowable Expenses</t>
  </si>
  <si>
    <t>Unallowable Depreciation</t>
  </si>
  <si>
    <t>Unallowable Bad Debts</t>
  </si>
  <si>
    <t>Unallowable Interest</t>
  </si>
  <si>
    <t>Unallowable Allocated Property</t>
  </si>
  <si>
    <t>Unallowable Lease Payments</t>
  </si>
  <si>
    <t>Unallowable CNA Training (Direct Care)</t>
  </si>
  <si>
    <r>
      <t xml:space="preserve">Other           </t>
    </r>
    <r>
      <rPr>
        <sz val="8"/>
        <rFont val="Times New Roman"/>
        <family val="1"/>
      </rPr>
      <t>(Specify Below)</t>
    </r>
  </si>
  <si>
    <t>NON-OPERATING EXPENSES (UNALLOWABLE)</t>
  </si>
  <si>
    <t>Loss on Sale of Fixed Assets</t>
  </si>
  <si>
    <t>Income Taxes</t>
  </si>
  <si>
    <t>Other</t>
  </si>
  <si>
    <r>
      <t xml:space="preserve">  </t>
    </r>
    <r>
      <rPr>
        <sz val="8"/>
        <rFont val="Times New Roman"/>
        <family val="1"/>
      </rPr>
      <t>(Specify Below)</t>
    </r>
  </si>
  <si>
    <t>TOTAL NON-OPERATING EXPENSES</t>
  </si>
  <si>
    <t>(Unallowable)</t>
  </si>
  <si>
    <t>TOTAL EXPENSES</t>
  </si>
  <si>
    <t>NET INCOME (LOSS)</t>
  </si>
  <si>
    <t>DETAIL FOR SCHEDULE G</t>
  </si>
  <si>
    <t>OTHER</t>
  </si>
  <si>
    <t>LIST BELOW ALL "POOL" (i.e. REGISTRY) COMPANIES, LICENSE NUMBERS, AND CORRESPONDING COSTS:</t>
  </si>
  <si>
    <t>(OTHER THAN ALLOCATED ARMS-LENGTH TRANSACTION COSTS)</t>
  </si>
  <si>
    <t>NAME AND ADDRESS OF RELATED ORGANIZATION OR INDIVIDUAL</t>
  </si>
  <si>
    <t>LINE NO. SCHED. A</t>
  </si>
  <si>
    <t>DESCRIPTION OF PRODUCTS/SERVICES</t>
  </si>
  <si>
    <t>REPORTED COSTS</t>
  </si>
  <si>
    <t>COST TO RELATED ORGANIZATION</t>
  </si>
  <si>
    <t>COST OF COMPARABLE SERVICES</t>
  </si>
  <si>
    <t>EXCESS REPORTED COST</t>
  </si>
  <si>
    <t>Current Portion of Long-Term Debt</t>
  </si>
  <si>
    <t>Due to Other Funds</t>
  </si>
  <si>
    <t>Home Office Current Liabilities</t>
  </si>
  <si>
    <t>Patient Trust Fund Liabilities</t>
  </si>
  <si>
    <t>Current Intercompany Payables</t>
  </si>
  <si>
    <t>TOTAL CURRENT LIABILITIES</t>
  </si>
  <si>
    <t>(Lines 50 through 58)</t>
  </si>
  <si>
    <t>LONG-TERM LIABILITIES</t>
  </si>
  <si>
    <t>Mortgage Payable</t>
  </si>
  <si>
    <t>Capitalized Lease Obligations</t>
  </si>
  <si>
    <t>Intercompany Payables</t>
  </si>
  <si>
    <t>Deferred Income Tax</t>
  </si>
  <si>
    <t>Home Office Long-Term Liabilities</t>
  </si>
  <si>
    <t>TOTAL LONG-TERM LIABILITIES</t>
  </si>
  <si>
    <t>(Lines 61 through 67)</t>
  </si>
  <si>
    <t>EQUITY / FUND BALANCES</t>
  </si>
  <si>
    <t>Stockholders' Equity</t>
  </si>
  <si>
    <t xml:space="preserve">     Common Stock</t>
  </si>
  <si>
    <t xml:space="preserve">     Preferred Stock</t>
  </si>
  <si>
    <t xml:space="preserve">     Treasury Stock</t>
  </si>
  <si>
    <t xml:space="preserve">     Additional Paid in Capital</t>
  </si>
  <si>
    <t>Proprietorship Equity</t>
  </si>
  <si>
    <t>Partnership Equity</t>
  </si>
  <si>
    <t>Fund Balance</t>
  </si>
  <si>
    <t>Retained Earnings</t>
  </si>
  <si>
    <t>Divisional Equity</t>
  </si>
  <si>
    <t>TOTAL EQUITY / FUND BALANCES</t>
  </si>
  <si>
    <t>(Lines 71 through 79)</t>
  </si>
  <si>
    <t>9.</t>
  </si>
  <si>
    <t>O</t>
  </si>
  <si>
    <t>BALANCE SHEET</t>
  </si>
  <si>
    <t>ASSETS</t>
  </si>
  <si>
    <t>ENTITY IF OTHER THAN NURSING FACILITY</t>
  </si>
  <si>
    <r>
      <t>NOTE:</t>
    </r>
    <r>
      <rPr>
        <sz val="10"/>
        <rFont val="Times New Roman"/>
        <family val="1"/>
      </rPr>
      <t xml:space="preserve">  Show all Adjustments and Reclassifications on Schedule G-5.  Use column 7 to report adjustment numbers from Schedule G-5.</t>
    </r>
  </si>
  <si>
    <t>Line
No.</t>
  </si>
  <si>
    <t>ACCOUNT</t>
  </si>
  <si>
    <t>ACCOUNT NUMBER</t>
  </si>
  <si>
    <t>PRIOR YEAR PER BOOKS</t>
  </si>
  <si>
    <t>CURRENT YEAR PER BOOKS</t>
  </si>
  <si>
    <t>ADJUSTMENTS &amp;
RECLASSIFICATIONS</t>
  </si>
  <si>
    <t>ALLOWABLE BALANCE</t>
  </si>
  <si>
    <t>SCHEDULE G-5 ADJUSTMENT NUMBERS FOR COLUMNS 4 AND 5</t>
  </si>
  <si>
    <t>DEBIT</t>
  </si>
  <si>
    <t>CREDIT</t>
  </si>
  <si>
    <t>(1)</t>
  </si>
  <si>
    <t>(2)</t>
  </si>
  <si>
    <t>(3)</t>
  </si>
  <si>
    <t>(4)</t>
  </si>
  <si>
    <t>(5)</t>
  </si>
  <si>
    <t>(6)</t>
  </si>
  <si>
    <t>(7)</t>
  </si>
  <si>
    <t>CURRENT ASSETS</t>
  </si>
  <si>
    <t>Cash</t>
  </si>
  <si>
    <t>Marketable Securities</t>
  </si>
  <si>
    <t>Patient Accounts Receivable</t>
  </si>
  <si>
    <t>Less:  Allowance for 
          Doubtful Accounts</t>
  </si>
  <si>
    <t>Inventories</t>
  </si>
  <si>
    <t>Prepaid Expenses</t>
  </si>
  <si>
    <t>Due from Other Funds</t>
  </si>
  <si>
    <t>Home Office Current Assets</t>
  </si>
  <si>
    <t>Patient Trust Fund Assets</t>
  </si>
  <si>
    <t>Current Intercompany Receivables</t>
  </si>
  <si>
    <r>
      <t xml:space="preserve">TOTAL CURRENT ASSETS </t>
    </r>
    <r>
      <rPr>
        <sz val="8"/>
        <rFont val="Times New Roman"/>
        <family val="1"/>
      </rPr>
      <t>(Lines 2 through 13)</t>
    </r>
  </si>
  <si>
    <t>PROPERTY, PLANT, AND EQUIPMENT</t>
  </si>
  <si>
    <t>Land</t>
  </si>
  <si>
    <t>Land Improvements</t>
  </si>
  <si>
    <t>Building</t>
  </si>
  <si>
    <t>Building Improvements</t>
  </si>
  <si>
    <t>Equipment - Fixed</t>
  </si>
  <si>
    <t>Equipment - Moveable</t>
  </si>
  <si>
    <t>Equipment - Vehicles</t>
  </si>
  <si>
    <t>Equipment - Other</t>
  </si>
  <si>
    <t>Leasehold Improvements</t>
  </si>
  <si>
    <t>TOTAL FACILITY PROPERTY, PLANT</t>
  </si>
  <si>
    <r>
      <t xml:space="preserve">  AND EQUIPMENT    </t>
    </r>
    <r>
      <rPr>
        <sz val="8"/>
        <rFont val="Times New Roman"/>
        <family val="1"/>
      </rPr>
      <t>(Lines 16 through 24)</t>
    </r>
  </si>
  <si>
    <t>Accum. Deprec. - Land Improv.</t>
  </si>
  <si>
    <t>Accum. Deprec. - Building</t>
  </si>
  <si>
    <t>Administrator, Assistant Administrator,</t>
  </si>
  <si>
    <t>Administrator-in-Training Fringe Benefits</t>
  </si>
  <si>
    <t>Administrator-in-Training Payroll Taxes</t>
  </si>
  <si>
    <t>Other Payroll Taxes</t>
  </si>
  <si>
    <t>Administrative Supplies</t>
  </si>
  <si>
    <t>Administrator-In-Training</t>
  </si>
  <si>
    <t>* Attach a schedule showing how much of these Accounting/Bookkeeping costs are associated with</t>
  </si>
  <si>
    <t xml:space="preserve">   fair hearings and legal pursuits against the department.</t>
  </si>
  <si>
    <r>
      <t xml:space="preserve">ALLOCATED SERVICES </t>
    </r>
    <r>
      <rPr>
        <sz val="9"/>
        <rFont val="Times New Roman"/>
        <family val="1"/>
      </rPr>
      <t>(Schedule G-2)</t>
    </r>
  </si>
  <si>
    <t>Allocated General Management Services</t>
  </si>
  <si>
    <r>
      <t>Allocated Management Fees</t>
    </r>
    <r>
      <rPr>
        <sz val="8"/>
        <rFont val="Times New Roman"/>
        <family val="1"/>
      </rPr>
      <t xml:space="preserve"> </t>
    </r>
  </si>
  <si>
    <t>Mgmt Fees Paid to Outside Mgmt Company</t>
  </si>
  <si>
    <r>
      <t xml:space="preserve">Travel           </t>
    </r>
    <r>
      <rPr>
        <sz val="8"/>
        <rFont val="Times New Roman"/>
        <family val="1"/>
      </rPr>
      <t>(Attach Schedule)</t>
    </r>
  </si>
  <si>
    <t>Telephone</t>
  </si>
  <si>
    <t>Name, Address, and Phone # of "allocating entity".</t>
  </si>
  <si>
    <t xml:space="preserve">     Name and Address of Other Organizations Receiving Services from "allocating entity".</t>
  </si>
  <si>
    <t>Name:</t>
  </si>
  <si>
    <t>Address:</t>
  </si>
  <si>
    <t>City/State:</t>
  </si>
  <si>
    <t>Phone:</t>
  </si>
  <si>
    <t>List Each Officer or Principal of the "allocating entity" (Last Name, First Name)</t>
  </si>
  <si>
    <t>Title:</t>
  </si>
  <si>
    <t>Percent Owned:</t>
  </si>
  <si>
    <t xml:space="preserve">                SERVICES OR RECEIVING MANAGEMENT FEES</t>
  </si>
  <si>
    <t>Name, Address, and Phone #</t>
  </si>
  <si>
    <t>Name and Address of Other Organizations Receiving Services</t>
  </si>
  <si>
    <t>If yes, give names and relationships between all management company and nursing facility personnel or organizations, and complete Schedule G-1.</t>
  </si>
  <si>
    <t>OTHER RECLASSIFICATIONS, ADJUSTMENTS AND FOOTNOTES</t>
  </si>
  <si>
    <t>TO SCHEDULES B AND G</t>
  </si>
  <si>
    <t>ACCOUNT NAME</t>
  </si>
  <si>
    <t>EXPLANATION</t>
  </si>
  <si>
    <t>MEDICAID ALLOWABLE THERAPY WORKSHEET</t>
  </si>
  <si>
    <t>DIRECT ONE-ON-ONE THERAPY CHARGES BY PAYER</t>
  </si>
  <si>
    <t>LINE</t>
  </si>
  <si>
    <t xml:space="preserve"> MEDICARE - PART B</t>
  </si>
  <si>
    <t>MEDICARE-</t>
  </si>
  <si>
    <t>ALL OTHER</t>
  </si>
  <si>
    <t>NO.</t>
  </si>
  <si>
    <t>KIND OF THERAPY</t>
  </si>
  <si>
    <t>B</t>
  </si>
  <si>
    <t>M</t>
  </si>
  <si>
    <t>N</t>
  </si>
  <si>
    <t>Current Year COLLECTIONS MADE ON PREVIOUSLY ALLOWED BAD DEBT CLAIMS</t>
  </si>
  <si>
    <t>Current Year PROJECTED MEDICAID BAD DEBTS [line (1) - line (2) - line (3) - line (4)]</t>
  </si>
  <si>
    <t>Change Dates</t>
  </si>
  <si>
    <t>Unallowable Advertising not related to recruitment</t>
  </si>
  <si>
    <t>Unallowable Non Office Equipment Rentals</t>
  </si>
  <si>
    <t>Unallowable Rev exp. of Barber/Vending/Meals</t>
  </si>
  <si>
    <t>Unallowable Bed Hold</t>
  </si>
  <si>
    <t>Unallowable Professional License Fees</t>
  </si>
  <si>
    <t>Unallowable Oxygen</t>
  </si>
  <si>
    <t>Unallowable Lobbying Expense</t>
  </si>
  <si>
    <t>Unallowable Public Relations</t>
  </si>
  <si>
    <t>Unallowable Rev Exp.of Prescription Drugs</t>
  </si>
  <si>
    <t>License Number</t>
  </si>
  <si>
    <r>
      <t xml:space="preserve">2. </t>
    </r>
    <r>
      <rPr>
        <sz val="7"/>
        <rFont val="Times New Roman"/>
        <family val="1"/>
      </rPr>
      <t>NATIONAL PROVIDER NUMBER</t>
    </r>
  </si>
  <si>
    <t>3.  VENDOR NUMBER</t>
  </si>
  <si>
    <t>4.  FACILITY MAILING ADDRESS</t>
  </si>
  <si>
    <t>5. PROVIDERONE ID NUMBER</t>
  </si>
  <si>
    <t>6.  FACILITY PHYSICAL ADDRESS</t>
  </si>
  <si>
    <t>7.  COUNTY NAME</t>
  </si>
  <si>
    <r>
      <t>9.</t>
    </r>
    <r>
      <rPr>
        <sz val="7"/>
        <rFont val="Times New Roman"/>
        <family val="1"/>
      </rPr>
      <t xml:space="preserve">  DEPT. OF REVENUE TAX REPORTING ACCT. #</t>
    </r>
  </si>
  <si>
    <t>10. FACILITY PHONE NUMBER</t>
  </si>
  <si>
    <t>11.  HOME OFFICE NAME</t>
  </si>
  <si>
    <t>12. HOME OFFICE PHONE NUMBER</t>
  </si>
  <si>
    <t>13. FACILITY FAX NUMBER</t>
  </si>
  <si>
    <t>14.  HOME OFFICE MAILING ADDRESS</t>
  </si>
  <si>
    <t>15.  COST REPORT PREPARER</t>
  </si>
  <si>
    <t>16.  FIRM NAME (If Applicable)</t>
  </si>
  <si>
    <t>17.  COST REPORT CONTACT PERSON MAILING ADDRESS</t>
  </si>
  <si>
    <t>18.  COST REPORT CONTACT PERSON</t>
  </si>
  <si>
    <t>19.  FAX NUMBER</t>
  </si>
  <si>
    <t>20.  PHONE NUMBER</t>
  </si>
  <si>
    <t>21.  ADMINISTRATOR</t>
  </si>
  <si>
    <t>22.  ADMIN. LICENSE NUMBER</t>
  </si>
  <si>
    <t>23. FACILITY E-MAIL ADDRESS</t>
  </si>
  <si>
    <t>24. HOME OFFICE E-MAIL ADDRESS</t>
  </si>
  <si>
    <t>25. CONTACT PERSON E-MAIL ADDRESS</t>
  </si>
  <si>
    <t>27.  Name  (Last Name, First Name)</t>
  </si>
  <si>
    <t>28.  Name  (Last Name, First Name)</t>
  </si>
  <si>
    <t>29.  Name  (Last Name, First Name)</t>
  </si>
  <si>
    <t>30.  Name  (Last Name, First Name)</t>
  </si>
  <si>
    <t xml:space="preserve">33.  Name </t>
  </si>
  <si>
    <t xml:space="preserve">34.  Name </t>
  </si>
  <si>
    <t xml:space="preserve">35.  Name </t>
  </si>
  <si>
    <t xml:space="preserve">36.  Name </t>
  </si>
  <si>
    <t xml:space="preserve">37.  Name </t>
  </si>
  <si>
    <t>Unallowable Rev Exp. of Lab/X-ray</t>
  </si>
  <si>
    <t>Unallowable Nursing Pool Non Licensed</t>
  </si>
  <si>
    <t xml:space="preserve">Other (Attach Schedule)  </t>
  </si>
  <si>
    <t>Other Allocated Expenses (Attach Schedule)</t>
  </si>
  <si>
    <t>Start-up/Organizational Costs (Attach Schedule)</t>
  </si>
  <si>
    <t xml:space="preserve">MEDICAID BAD DEBTS
</t>
  </si>
  <si>
    <t>MEDICARE ADVANTAGE PART C</t>
  </si>
  <si>
    <t>Safety Net Assessment Fee (SNA)</t>
  </si>
  <si>
    <t>Physician</t>
  </si>
  <si>
    <t>Paid Medicaid Patient Days</t>
  </si>
  <si>
    <t xml:space="preserve"> ALLOCATED</t>
  </si>
  <si>
    <t>TOTAL PATIENT DAYS (Schedule N, Line 13, Col. 7)</t>
  </si>
  <si>
    <t>TOTAL PATIENT DAYS (Schedule N, line 13, column 7)</t>
  </si>
  <si>
    <t>Safety Net Add-on</t>
  </si>
  <si>
    <t>Less TOTAL REPORT PERIOD INTERIM PAYMENTS (Schedule M, Column 4, Line 14)</t>
  </si>
  <si>
    <t>PART A - COST PER PATIENT DAY</t>
  </si>
  <si>
    <t>PART B - WEIGHTED RATE</t>
  </si>
  <si>
    <t>RATES TIMES PATIENT DAYS</t>
  </si>
  <si>
    <t>PART C - PRELIMINARY SETTLEMENT RATE</t>
  </si>
  <si>
    <t>PART D - PRELIMINARY SETTLEMENT AMOUNT</t>
  </si>
  <si>
    <t>Columns 1-8</t>
  </si>
  <si>
    <t xml:space="preserve">to nearest </t>
  </si>
  <si>
    <t>whole dollar)</t>
  </si>
  <si>
    <t>COST OR RATE</t>
  </si>
  <si>
    <t>Supplies/Other</t>
  </si>
  <si>
    <t xml:space="preserve">WEIGHTED RATE </t>
  </si>
  <si>
    <t xml:space="preserve">Ventilator Exp. Portion of Wrap-Around Payment </t>
  </si>
  <si>
    <t xml:space="preserve">Tracheotomy Exp. Portion of Wrap-Around Pmt. </t>
  </si>
  <si>
    <t>Certified Nursing Assistants</t>
  </si>
  <si>
    <t>OTHER IN-HOUSE SERVICES</t>
  </si>
  <si>
    <t>OTHER PURCHASED SERVICES</t>
  </si>
  <si>
    <t>OTHER ALLOCATED SERVICES</t>
  </si>
  <si>
    <r>
      <t xml:space="preserve"> OTHER PURCHASED SERVICES</t>
    </r>
    <r>
      <rPr>
        <sz val="12"/>
        <rFont val="Times New Roman"/>
        <family val="1"/>
      </rPr>
      <t xml:space="preserve">  (Cont.)</t>
    </r>
  </si>
  <si>
    <t>SUBTOTAL IN-HOUSE NURSING SERVICES AND HOURS</t>
  </si>
  <si>
    <t>SUBTOTAL PURCHASED NURSING SERVICES AND HOURS</t>
  </si>
  <si>
    <t>SUBTOTAL ALLOCATED NURSING SERVICES AND HOURS</t>
  </si>
  <si>
    <r>
      <t>TOTAL FOOD</t>
    </r>
    <r>
      <rPr>
        <sz val="8"/>
        <rFont val="Times New Roman"/>
        <family val="1"/>
      </rPr>
      <t xml:space="preserve"> </t>
    </r>
  </si>
  <si>
    <t>[1] These days equal what is reported on Schedule N, Column 1 and do include zero paid days.</t>
  </si>
  <si>
    <t>Other Nursing With Admin. Duties
(attached schedule)</t>
  </si>
  <si>
    <t>Nursing Home Sq. Footage Per Bed</t>
  </si>
  <si>
    <t>Proprietary Corporation, Non-Profit Corporation, Governmental, Individual, Partnership, or Other:</t>
  </si>
  <si>
    <t>Indicate Yes, No, NA:</t>
  </si>
  <si>
    <t xml:space="preserve">                                              SCHEDULE G-1 is not applicable to this facility NA if not:-</t>
  </si>
  <si>
    <t>Are there related party relationships between the nursing facility and the management company Input Yes or No:?</t>
  </si>
  <si>
    <t xml:space="preserve">SCHEDULE G-7 is not applicable to this facility Input NA: - </t>
  </si>
  <si>
    <t>Schedule P is not applicable to this facility Input NA:-</t>
  </si>
  <si>
    <t>26.   THE OPERATOR (Contractor) OF THE BUSINESS IS ONE OF THE BELOW.  PLEASE INPUT THE TYPE LISTED BELOW:</t>
  </si>
  <si>
    <t>SUPPLEMENTAL SCHEDULE O-1 is not applicable to this facility Input NA:-</t>
  </si>
  <si>
    <t>Stabilizer Loss</t>
  </si>
  <si>
    <t>Stabilizer Gain</t>
  </si>
  <si>
    <t>Quality Enhancement</t>
  </si>
  <si>
    <t>Stabilizer Gain Distribution:</t>
  </si>
  <si>
    <t>Percent</t>
  </si>
  <si>
    <t>Amount</t>
  </si>
  <si>
    <t>QE</t>
  </si>
  <si>
    <t xml:space="preserve">Aging and Long Term Care Support Agency </t>
  </si>
  <si>
    <t>Current Renovation Dollar Amount</t>
  </si>
  <si>
    <t>FMR Building Renovations Completed During This Cost Report Year</t>
  </si>
  <si>
    <t>FMR Fixed Equipment Renovations Completed During This Cost Report Year</t>
  </si>
  <si>
    <t>FMR Leasehold Improvement Renovations Completed During This Cost Report Year</t>
  </si>
  <si>
    <t>FMR Total Renovations Completed During This Cost Report Year</t>
  </si>
  <si>
    <t>TOTAL ALLOWABLE THERAPY EXPENSE (Line 20, Col. 8 + Col. 9 + Col. 10 + Col. 11)</t>
  </si>
  <si>
    <t>TOTAL ALLOWABLE ONE-ON-ONE THERAPY EXPENSE (Line 16 x Line 17)</t>
  </si>
  <si>
    <r>
      <t xml:space="preserve">RATE PER PATIENT DAY (Line 14 / Line 15) </t>
    </r>
    <r>
      <rPr>
        <sz val="9"/>
        <rFont val="Times New Roman"/>
        <family val="1"/>
      </rPr>
      <t>(Round to 4 decimal places)</t>
    </r>
  </si>
  <si>
    <t xml:space="preserve">  Amount from line 13, column 7 divided by amount from line 15.</t>
  </si>
  <si>
    <t xml:space="preserve">TOTAL LICENSED BEDS  </t>
  </si>
  <si>
    <t>FAIR MARKET RENTAL EXPENSES</t>
  </si>
  <si>
    <t>Quality Enhancement &amp; (% of Stabilizer Gain)</t>
  </si>
  <si>
    <t xml:space="preserve">                                              SCH G-2 is not applicable NA if not:-</t>
  </si>
  <si>
    <t xml:space="preserve">                                              SCH G-2 HO is not applicable NA if not:-</t>
  </si>
  <si>
    <t xml:space="preserve">SCHEDULE G-8 is not applicable to this facility Input NA: - </t>
  </si>
  <si>
    <t>19.  NUMBER OF SWING BEDS</t>
  </si>
  <si>
    <t>NURSING FACILITY BUILDING INFORMATION</t>
  </si>
  <si>
    <t>Unallowable Travel</t>
  </si>
  <si>
    <t>IF ANY OF THE ENTITIES LISTED ON LINES 26 THROUGH 30 ABOVE ARE NOT INDIVIDUALS BUT ARE ORGANIZATIONS</t>
  </si>
  <si>
    <t>Name of organization (as listed on line 27 of Schedule A, Page 2)</t>
  </si>
  <si>
    <t>Name of organization (as listed in lines 28-30 of Schedule A, Page 2)</t>
  </si>
  <si>
    <r>
      <t xml:space="preserve">THERAPY    </t>
    </r>
    <r>
      <rPr>
        <sz val="8"/>
        <rFont val="Times New Roman"/>
        <family val="1"/>
      </rPr>
      <t>(Schedule G-7, Line 21)</t>
    </r>
  </si>
  <si>
    <t xml:space="preserve">Supplies/Other </t>
  </si>
  <si>
    <t>Other Vehicle</t>
  </si>
  <si>
    <t>Structure Square Footage From Prior Year</t>
  </si>
  <si>
    <t>COST REPORT ACCT. NO.</t>
  </si>
  <si>
    <t>ALLOCATED TO COST REPORTING ENITITY</t>
  </si>
  <si>
    <t>ALLOCATED TO COST REPORTING ENTITY</t>
  </si>
  <si>
    <t>NAME OF SERVICING ORGANIZATION</t>
  </si>
  <si>
    <t>DESCRIPTION OF SERVICE OR EXPENSES</t>
  </si>
  <si>
    <t>DESCRIPTION OF OTHER SPECIFIC SERVICES OR EXPENSES AND THE RELATED OVERHEAD COSTS. (Specify Each Specific Service or Expense Below)</t>
  </si>
  <si>
    <t>DESCRIPTION OF OTHER SPECIFIC SERVICES OR EXPENSES AND THE RELATED OVERHEAD COSTS. (Specify Service or Expense Below)</t>
  </si>
  <si>
    <t>ALLOCATION BASIS METHODOLOGY</t>
  </si>
  <si>
    <t>Line# or Description</t>
  </si>
  <si>
    <t>Schedule</t>
  </si>
  <si>
    <t>M/N</t>
  </si>
  <si>
    <r>
      <t xml:space="preserve">17.  HOLD ROOM DAYS </t>
    </r>
    <r>
      <rPr>
        <sz val="8"/>
        <rFont val="Times New Roman"/>
        <family val="1"/>
      </rPr>
      <t>(See Note 3)</t>
    </r>
  </si>
  <si>
    <t>18.  SWING BED DAYS  (See Note 3)</t>
  </si>
  <si>
    <t>UNPAID MEDICAID
CLAIMED PATIENT
DAYS AS OF 60 DAYS
AFTER END OF PERIOD 
(See Note 1)</t>
  </si>
  <si>
    <t>MEDICAID PATIENT
DAYS PAID AS OF
60 DAYS AFTER
END OF PERIOD
(See Note 3)</t>
  </si>
  <si>
    <r>
      <rPr>
        <sz val="12"/>
        <rFont val="Times New Roman"/>
        <family val="1"/>
      </rPr>
      <t>MEDICAID
DAYS LESS
SWING BED
DAYS
(See Note 1)</t>
    </r>
  </si>
  <si>
    <r>
      <rPr>
        <sz val="12"/>
        <rFont val="Times New Roman"/>
        <family val="1"/>
      </rPr>
      <t>PAYMENTS FOR
MEDICAID PATIENTS
PAID AS OF 60 DAYS
AFTER END OF PERIOD
(See Note 2 and 3)</t>
    </r>
  </si>
  <si>
    <t>FMR Building Improvements Renovations Completed During This Cost Report Year</t>
  </si>
  <si>
    <t xml:space="preserve">If "Correct" then ok.  If "Error" then verify data. </t>
  </si>
  <si>
    <t>Account Description</t>
  </si>
  <si>
    <t>Line Description</t>
  </si>
  <si>
    <t>Account Number</t>
  </si>
  <si>
    <t>As of ending report period. DO NOT INCLUDE SWING BEDS ON LINE 19</t>
  </si>
  <si>
    <t>(Col 9/</t>
  </si>
  <si>
    <t>Col. 10)</t>
  </si>
  <si>
    <t>INDIRECT CARE EXPENSES</t>
  </si>
  <si>
    <t>TOTAL INDIRECT CARE</t>
  </si>
  <si>
    <t>TOTAL OTHER PATIENT EXPENSES</t>
  </si>
  <si>
    <t>TOTAL OTHER OPERATING EXPENSES</t>
  </si>
  <si>
    <t>DEVELOPMENTAL DISABLED SPECIALIST</t>
  </si>
  <si>
    <t>Line Number</t>
  </si>
  <si>
    <t>Number of W2s</t>
  </si>
  <si>
    <t>TOTAL DIRECT CARE EXPENSES</t>
  </si>
  <si>
    <t>Direct Care:
Direct Care &amp; (% of Stabilizer Gain)</t>
  </si>
  <si>
    <t>Indirect &amp; (% of Stabilizer Gain)</t>
  </si>
  <si>
    <t>Fair Market Rental &amp; (% of Stabilizer Gain)</t>
  </si>
  <si>
    <t>ID</t>
  </si>
  <si>
    <t>FR</t>
  </si>
  <si>
    <t>Roll Forward Add-On</t>
  </si>
  <si>
    <t>Minimum Wage Add-On</t>
  </si>
  <si>
    <t>DOLLARS</t>
  </si>
  <si>
    <t>Home Office Allocation of Square footage During This Cost Report Year</t>
  </si>
  <si>
    <t>Date Built for Newly Constructed Nursing Home Only</t>
  </si>
  <si>
    <t>3.  Indicate how Average Charge to Private Patients from Schedule G was calculated.</t>
  </si>
  <si>
    <t xml:space="preserve">TOTAL NURSING </t>
  </si>
  <si>
    <t xml:space="preserve">NURSING </t>
  </si>
  <si>
    <r>
      <t xml:space="preserve">INDIRECT REVENUE OFFSET  </t>
    </r>
    <r>
      <rPr>
        <sz val="8"/>
        <rFont val="Times New Roman"/>
        <family val="1"/>
      </rPr>
      <t>(Attach Schedule)</t>
    </r>
  </si>
  <si>
    <t>Total number of Direct Care Staffing W2s for the entire year.  
Direct Care Staffing only includes those In-House Direct Care Staff reported on the Cost Report Schedule G accounts:
DNS 5111.01
RN 5111.02
LPN 5111.03 
Certified Nursing Assistants 5111.04
Other Nursing With Administrative Duties 5111.05</t>
  </si>
  <si>
    <t>Total number of W2s associated with Direct Care Staff for the entire year that exited the following positions for any reason (Terminated, Quit, or Transferred out of Direct Care Staffing positions to other Staffing Positions).  
This only includes those In-House Direct Care Staff reported on Cost Report Schedule G accounts:
DNS 5111.01
RN 5111.02 
LPN 5111.03
Certified Nursing Assistants 5111.04 
Other Nursing With Administrative Duties 5111.05</t>
  </si>
  <si>
    <t>Indirect</t>
  </si>
  <si>
    <t>Fair Market Rental</t>
  </si>
  <si>
    <t>RATE
(Part B, Col. 11)</t>
  </si>
  <si>
    <t>RATE 
(Col. 3)</t>
  </si>
  <si>
    <t>Nursing Facility</t>
  </si>
  <si>
    <t>Indirect - please detail below</t>
  </si>
  <si>
    <t>Fair Market Rental - please detail below</t>
  </si>
  <si>
    <r>
      <t xml:space="preserve">Total Proshare Expenditures by Rate Component </t>
    </r>
    <r>
      <rPr>
        <sz val="10"/>
        <rFont val="Times New Roman"/>
        <family val="1"/>
      </rPr>
      <t>(line 16 + 17 +18 + 19)</t>
    </r>
  </si>
  <si>
    <t>(line 20 must equal line 8, else "errrrrrrrrr")</t>
  </si>
  <si>
    <t xml:space="preserve">Other Current Assets </t>
  </si>
  <si>
    <t>Other Current Liabilities</t>
  </si>
  <si>
    <t>Other Long-Term Liabilities</t>
  </si>
  <si>
    <t>Other Non-Current Assets</t>
  </si>
  <si>
    <r>
      <t xml:space="preserve">DIRECT CARE REVENUE OFFSET 
</t>
    </r>
    <r>
      <rPr>
        <sz val="8"/>
        <rFont val="Times New Roman"/>
        <family val="1"/>
      </rPr>
      <t>(Attach Schedule)</t>
    </r>
  </si>
  <si>
    <t>with WAC 388-96-117, I hereby certify that I am the contractor as defined in 74.46.20(10) and certify under penalty of perjury that this cost report is a true,</t>
  </si>
  <si>
    <t>correct, and complete representation of actual costs related to patient care prepared in accordance with applicable instructions provided by department,</t>
  </si>
  <si>
    <t xml:space="preserve">Ch. 74.46 RCW, and Ch. 388-96 WAC.  Further, where other costs not related to patient care are shown, they are classified as unallowable. </t>
  </si>
  <si>
    <t xml:space="preserve"> I understand that I can be criminally prosecuted if I have willfully made a false statement or willfully failed to report something I have a duty to report.</t>
  </si>
  <si>
    <t>Page 2 Schedule A</t>
  </si>
  <si>
    <t>Page 3 Schedule A  If not applicable to this facility input NA: -</t>
  </si>
  <si>
    <t>Page 4 Schedule A</t>
  </si>
  <si>
    <t>PART  F - ORGANIZATIONS AND INDIVIDUALS PROVIDING ALLOCATED EXPENSES</t>
  </si>
  <si>
    <t>PART G - ORGANIZATIONS AND INDIVIDUALS PROVIDING MANAGEMENT</t>
  </si>
  <si>
    <t>PART H - OPERATOR(S)</t>
  </si>
  <si>
    <t>PART I - PROPERTY OWNERSHIP (ORGANIZATION ONE)</t>
  </si>
  <si>
    <t>PART J - PROPERTY OWNERSHIP (ORGANIZATION TWO)</t>
  </si>
  <si>
    <t xml:space="preserve">Other Receivables </t>
  </si>
  <si>
    <r>
      <t xml:space="preserve">Nursing Supplies    </t>
    </r>
    <r>
      <rPr>
        <sz val="8"/>
        <rFont val="Times New Roman"/>
        <family val="1"/>
      </rPr>
      <t>(Attach Schedule)</t>
    </r>
  </si>
  <si>
    <r>
      <t xml:space="preserve">SQUARE FOOTAGE ADDED
</t>
    </r>
    <r>
      <rPr>
        <b/>
        <u val="single"/>
        <sz val="12"/>
        <rFont val="Times New Roman"/>
        <family val="1"/>
      </rPr>
      <t xml:space="preserve"> (For line 209 Structure is Prior Year Examined Square Footage Approved on Reason Code 19)</t>
    </r>
  </si>
  <si>
    <t>Total Current Nursing Home Sq. Footage (Attach Supporting Schedule(s) and Site Plan) Lines 209 to 214</t>
  </si>
  <si>
    <r>
      <t xml:space="preserve">FOOD REVENUE OFFSET </t>
    </r>
    <r>
      <rPr>
        <sz val="8"/>
        <rFont val="Times New Roman"/>
        <family val="1"/>
      </rPr>
      <t>(Attach Schedule)</t>
    </r>
  </si>
  <si>
    <t>Other Unallowable</t>
  </si>
  <si>
    <t>Total Other Unallowable</t>
  </si>
  <si>
    <t xml:space="preserve">COST REPORT SCHEDULE L DIRECT CARE EMPLOYEE TURNOVER </t>
  </si>
  <si>
    <t>DIRECT CARE EMPLOYEE TURNOVER PERCENTAGE:  Line 2 / Line 1</t>
  </si>
  <si>
    <t xml:space="preserve"> PERSONNEL INFORMATION RELATED TO DIRECT CARE EMPLOYEE TURNOVER </t>
  </si>
  <si>
    <t>THE ORGANIZATION IS.  INPUT THE TYPE LISTED BELOW:</t>
  </si>
  <si>
    <t>Name (Last Name, First Name)</t>
  </si>
  <si>
    <t>Percent
 Owned:</t>
  </si>
  <si>
    <t>Percent 
Owned:</t>
  </si>
  <si>
    <t>Unallowable CNA Training (Indirect Care)</t>
  </si>
  <si>
    <t>MEDICAID MANAGED CARE DAYS
(See Note 2)</t>
  </si>
  <si>
    <t xml:space="preserve">OTHER
PATIENT DAYS
</t>
  </si>
  <si>
    <t>Note 2: Medicaid Managed Care Days billed as Class Code 55</t>
  </si>
  <si>
    <t>Quality Enhancement #2</t>
  </si>
  <si>
    <t>Quality Enhancement #2 &amp; (% of Stabilizer Gain)</t>
  </si>
  <si>
    <t>Q2</t>
  </si>
  <si>
    <t>Note 3: Do not include days from Lines 17 to 18 on Lines 1 through 13 above</t>
  </si>
  <si>
    <t xml:space="preserve">PRELIMINARY SETTLEMENT REPORT </t>
  </si>
  <si>
    <t>FAIR MARKET RENTAL CURRENT COST REPORT YEAR RENOVATIONS
 FOR FACILITY AGE RECALCUATION
This information is used for the Capital Fair Market Rental rate component.  
Attach detailed schedule(s) that support the current year additional square footage and renovations. 
If there is a change to square footage, include an attached detailed Site Plan that supports the total nursing home square footage reported on line 217. 
Note: please reference the Written Cost Report Instruction Manual for further square footage information and instruction.</t>
  </si>
  <si>
    <t>Valid Vendor Numbers</t>
  </si>
  <si>
    <t>CLOSED</t>
  </si>
  <si>
    <t>NULL</t>
  </si>
  <si>
    <t>North Central Care Center</t>
  </si>
  <si>
    <t>Vancouver Specialty and Rehabilitative Care</t>
  </si>
  <si>
    <t>Talbot Center for Rehabilitation and Healthcare</t>
  </si>
  <si>
    <t>MANOR CARE HEALTH SERVICES (GIG HARBOR)</t>
  </si>
  <si>
    <t>MANOR CARE HEALTH SERVICES (LYNNWOOD)</t>
  </si>
  <si>
    <t>MANOR CARE HEALTH SERVICES (TACOMA)</t>
  </si>
  <si>
    <t>MANOR CARE HEALTH SERVICES (SPOKANE)</t>
  </si>
  <si>
    <t>MANORCARE HEALTH SERVICES - SALMON CREEK</t>
  </si>
  <si>
    <t>MANORCARE HEALTH SERVICES - LACEY</t>
  </si>
  <si>
    <t>Park Ridge Care Center</t>
  </si>
  <si>
    <t>Park West Care Center</t>
  </si>
  <si>
    <t>Burien Nursing and Rehabilitation Center</t>
  </si>
  <si>
    <t>C Hunt</t>
  </si>
  <si>
    <t>IDA CULVER HOUSE BROADVIEW NURSING CARE CENTER</t>
  </si>
  <si>
    <t>SEA MAR COMMUNITY CARE CENTER</t>
  </si>
  <si>
    <t>KIN ON HEALTH CARE CENTER</t>
  </si>
  <si>
    <t>ROCKWOOD AT HAWTHORNE</t>
  </si>
  <si>
    <t>SHARON CARE CENTER</t>
  </si>
  <si>
    <t>MT BAKER CARE CENTER</t>
  </si>
  <si>
    <t>ARLINGTON HEALTH AND REHABILITATION</t>
  </si>
  <si>
    <t>STAFFORD HEALTHCARE</t>
  </si>
  <si>
    <t>CRESCENT HEALTH CARE, INC.</t>
  </si>
  <si>
    <t>GOOD SAMARITAN HEALTH CARE CENTER</t>
  </si>
  <si>
    <t>Regency Olympia Rehabilitation And Nursing Center</t>
  </si>
  <si>
    <t>PARK ROSE CARE CENTER</t>
  </si>
  <si>
    <t>REGENCY CARE CENTER AT MONROE</t>
  </si>
  <si>
    <t>Regency North Bend Rehabilitation and Nursing Center</t>
  </si>
  <si>
    <t>REGENCY AT NORTHPOINTE</t>
  </si>
  <si>
    <t>REGENCY AT THE PARK</t>
  </si>
  <si>
    <t>GARDEN VILLAGE</t>
  </si>
  <si>
    <t>REGENCY OMAK</t>
  </si>
  <si>
    <t>MIRABELLA</t>
  </si>
  <si>
    <t>MIRA VISTA CARE CENTER</t>
  </si>
  <si>
    <t>SHORELINE HEALTH AND REHABILITATION</t>
  </si>
  <si>
    <t>Regency Harmony House Rehab and Nursing Center</t>
  </si>
  <si>
    <t>Regency Canyon Lakes Rehabilitation and Nursing Center</t>
  </si>
  <si>
    <t>Regency Wenatchee Rehabilitation and Nursing Center</t>
  </si>
  <si>
    <t>View Ridge Care Center</t>
  </si>
  <si>
    <t>The Oaks at Forest Bay</t>
  </si>
  <si>
    <t>The Oaks at Lakewood</t>
  </si>
  <si>
    <t>The Oaks at Timberline</t>
  </si>
  <si>
    <t>STAFFORD HEALTHCARE AT BELMONT</t>
  </si>
  <si>
    <t>STAFFORD HEALTHCARE AT RIDGEMONT</t>
  </si>
  <si>
    <t>WARM BEACH HEALTH CARE CENTER</t>
  </si>
  <si>
    <t>WOODLAND CONVALESCENT CENTER</t>
  </si>
  <si>
    <t>WASHINGTON VETERANS HOME-RETSIL</t>
  </si>
  <si>
    <t>WASHINGTON SOLDIERS HOME</t>
  </si>
  <si>
    <t>SPOKANE VETERAN'S HOME</t>
  </si>
  <si>
    <t>Washington State Walla Walla Veterans Home</t>
  </si>
  <si>
    <t>BETHANY AT SILVER LAKE</t>
  </si>
  <si>
    <t>BAILEY-BOUSHAY HOUSE</t>
  </si>
  <si>
    <t>EVERETT TRANSITIONAL CARE SERVICES</t>
  </si>
  <si>
    <t>BETHANY AT PACIFIC</t>
  </si>
  <si>
    <t>RICHMOND BEACH REHAB</t>
  </si>
  <si>
    <t>LANDMARK CARE AND REHABILITATION</t>
  </si>
  <si>
    <t>AVAMERE OLYMPIC REHABILITATION OF SEQUIM</t>
  </si>
  <si>
    <t>WILLOW SPRINGS CARE AND REHABILITATION</t>
  </si>
  <si>
    <t>WASHINGTON CENTER FOR COMPREHENSIVE REHABILITATION</t>
  </si>
  <si>
    <t>ST FRANCIS OF BELLINGHAM</t>
  </si>
  <si>
    <t>AVAMERE HERITAGE REHABILITATION OF TACOMA</t>
  </si>
  <si>
    <t>Avamere at Pacific Ridge</t>
  </si>
  <si>
    <t>QUEEN ANNE HEALTHCARE</t>
  </si>
  <si>
    <t>AVAMERE BELLINGHAM HEALTH CARE &amp; REHABILITATION</t>
  </si>
  <si>
    <t>BALLARD CENTER</t>
  </si>
  <si>
    <t>COLUMBIA CREST CENTER</t>
  </si>
  <si>
    <t>EVERETT CENTER</t>
  </si>
  <si>
    <t>LAKE RIDGE CENTER</t>
  </si>
  <si>
    <t>Avamere Rehabilitation of Cascade Park</t>
  </si>
  <si>
    <t>LINDEN GROVE HEALTH CARE CENTER</t>
  </si>
  <si>
    <t>MONTESANO HEALTH &amp; REHABILITATION</t>
  </si>
  <si>
    <t>Orchard Park Health Care &amp; Rehabilitation Center</t>
  </si>
  <si>
    <t>Avamere Transitional Care of Puget Sound</t>
  </si>
  <si>
    <t>Selah Care and Rehabilitation</t>
  </si>
  <si>
    <t>COLVILLE TRIBAL CONVALESCENT CENTER</t>
  </si>
  <si>
    <t>BOOKER REST HOME ANNEX</t>
  </si>
  <si>
    <t>J Franzen</t>
  </si>
  <si>
    <t>PROVIDENCE MOUNT ST VINCENT</t>
  </si>
  <si>
    <t>PROVIDENCE MOTHER JOSEPH CARE CENTER</t>
  </si>
  <si>
    <t>HALLMARK MANOR</t>
  </si>
  <si>
    <t>ALDERWOOD MANOR</t>
  </si>
  <si>
    <t>LIFE CARE CENTER OF FEDERAL WAY</t>
  </si>
  <si>
    <t>PARK SHORE</t>
  </si>
  <si>
    <t>PROVIDENCE MARIANWOOD</t>
  </si>
  <si>
    <t>LIFE CARE CENTER OF PORT TOWNSEND</t>
  </si>
  <si>
    <t>MARTHA &amp; MARY HEALTH SERVICES</t>
  </si>
  <si>
    <t>VASHON COMMUNITY CARE CENTER</t>
  </si>
  <si>
    <t>COTTESMORE OF LIFE CARE</t>
  </si>
  <si>
    <t>LIFE CARE CENTER OF KENNEWICK</t>
  </si>
  <si>
    <t>LIFE CARE CENTER OF RICHLAND</t>
  </si>
  <si>
    <t>LIFE CARE CENTER OF PUYALLUP</t>
  </si>
  <si>
    <t>LIFE CARE CENTER OF SKAGIT VALLEY</t>
  </si>
  <si>
    <t>PROVIDENCE ST JOSEPH CARE CENTER</t>
  </si>
  <si>
    <t>LIFE CARE CENTER OF PORT ORCHARD</t>
  </si>
  <si>
    <t>LIFE CARE CENTER OF KIRKLAND</t>
  </si>
  <si>
    <t>Marysville Care Center</t>
  </si>
  <si>
    <t>FORKS COMMUNITY HOSPITAL LTC UNIT</t>
  </si>
  <si>
    <t>PROVIDENCE ST JOSEPH HOSPITAL</t>
  </si>
  <si>
    <t>J Ramos</t>
  </si>
  <si>
    <t>CORWIN CENTER AT EMERALD HEIGHTS</t>
  </si>
  <si>
    <t>SUNRISE VIEW CONVALESCENT CENTER</t>
  </si>
  <si>
    <t>COVENANT SHORES HEALTH CENTER</t>
  </si>
  <si>
    <t>HEARTWOOD EXTENDED HEALTH CARE</t>
  </si>
  <si>
    <t>CHRISTIAN HEALTH CARE CENTER</t>
  </si>
  <si>
    <t>SAINT ANNE NURSING AND REHABILITATION CENTER</t>
  </si>
  <si>
    <t>SULLIVAN PARK CARE CENTER</t>
  </si>
  <si>
    <t>DISCOVERY NURSING &amp; REHAB OF VANCOUVER</t>
  </si>
  <si>
    <t>TOPPENISH NURSING &amp; REHAB CENTER</t>
  </si>
  <si>
    <t>EMERALD CARE</t>
  </si>
  <si>
    <t>PUYALLUP NURSING AND REHABILITATION CENTER</t>
  </si>
  <si>
    <t>PRESTIGE CARE &amp; REHABILITATION - CAMAS</t>
  </si>
  <si>
    <t>PRESTIGE CARE &amp; REHABILITATION - BURLINGTON</t>
  </si>
  <si>
    <t>RICHLAND REHABILITATION CENTER</t>
  </si>
  <si>
    <t>PRESTIGE CARE &amp; REHABILITATION - SUNNYSIDE</t>
  </si>
  <si>
    <t>PRESTIGE CARE &amp; REHABILITATION - CLARKSTON</t>
  </si>
  <si>
    <t>PRESTIGE CARE &amp; REHABILITATION - PINEWOOD TERRACE</t>
  </si>
  <si>
    <t>PRESTIGE CARE &amp; REHABILITATION - PARKSIDE</t>
  </si>
  <si>
    <t>Prestige Post-Acute and Rehab Center - Centralia</t>
  </si>
  <si>
    <t>Prestige Post-Acute and Rehab Center - Edmonds</t>
  </si>
  <si>
    <t>Colonial Vista Post Acute &amp; Rehabilitation Center</t>
  </si>
  <si>
    <t>Brookfield Health and Rehabilitation of Cascadia</t>
  </si>
  <si>
    <t>PANORAMA CITY CONVALESCENT &amp; REHAB CENTER</t>
  </si>
  <si>
    <t>HEARTHSTONE, THE</t>
  </si>
  <si>
    <t>CAROLINE KLINE GALLAND HOME, THE</t>
  </si>
  <si>
    <t>KEIRO NORTHWEST</t>
  </si>
  <si>
    <t>JUDSON PARK HEALTH CENTER</t>
  </si>
  <si>
    <t>NEWPORT COMMUNITY HOSPITAL - LTC UNIT</t>
  </si>
  <si>
    <t>COLUMBIA BASIN HOSPITAL</t>
  </si>
  <si>
    <t>NORTH VALLEY HOSPITAL</t>
  </si>
  <si>
    <t>M Ayala</t>
  </si>
  <si>
    <t>AMERICANA HEALTH AND REHABILITATION CENTER</t>
  </si>
  <si>
    <t>FRONTIER REHABILITATION AND EXTENDED CARE FACILITY</t>
  </si>
  <si>
    <t>SEATTLE MEDICAL POST ACUTE CARE</t>
  </si>
  <si>
    <t>WHITMAN HEALTH AND REHABILITATION CENTER</t>
  </si>
  <si>
    <t>ENUMCLAW HEALTH AND REHABILITATION CENTER</t>
  </si>
  <si>
    <t>CANTERBURY HOUSE</t>
  </si>
  <si>
    <t>SHELTON HEALTH AND REHABILITATION CENTER</t>
  </si>
  <si>
    <t>PARK ROYAL HEALTH AND REHABILITATION CENTER</t>
  </si>
  <si>
    <t>NORTH CASCADES HEALTH AND REHABILITATION CENTER</t>
  </si>
  <si>
    <t>AVALON CARE CENTER - FEDERAL WAY, LLC</t>
  </si>
  <si>
    <t>GRAYS HARBOR HEALTH &amp; REHABILITATION CENTER</t>
  </si>
  <si>
    <t>WILLAPA HARBOR HEALTH &amp; REHAB</t>
  </si>
  <si>
    <t>AVALON CARE CENTER AT NORTHPOINTE</t>
  </si>
  <si>
    <t>AVALON CARE CENTER - OTHELLO, LLC</t>
  </si>
  <si>
    <t>AVALON CARE CENTER - PULLMAN</t>
  </si>
  <si>
    <t>AVALON HEALTH &amp; REHABILITATION CENTER - PASCO</t>
  </si>
  <si>
    <t>BENSON HEIGHTS REHABILITATION CENTER</t>
  </si>
  <si>
    <t>ALASKA GARDENS HEALTH AND REHABILITATION CENTER</t>
  </si>
  <si>
    <t>REDMOND CARE AND REHABILITATION CENTER</t>
  </si>
  <si>
    <t>MOUNTAIN VIEW REHABILITATION AND CARE CENTER</t>
  </si>
  <si>
    <t>BEACON HILL REHABILITATION</t>
  </si>
  <si>
    <t>RAINIER REHABILITATION</t>
  </si>
  <si>
    <t>ROYAL PARK HEALTH AND REHABILITATION</t>
  </si>
  <si>
    <t>HIGHLAND HEALTH AND REHABILITATION</t>
  </si>
  <si>
    <t>ALDERWOOD PARK HEALTH AND REHABILITATION</t>
  </si>
  <si>
    <t>SNOHOMISH HEALTH AND REHABILITATION</t>
  </si>
  <si>
    <t>PARK MANOR REHABILITATION CENTER</t>
  </si>
  <si>
    <t>PACIFIC CARE AND REHABILITATION</t>
  </si>
  <si>
    <t>LYNNWOOD POST ACUTE REHABILITATION CENTER</t>
  </si>
  <si>
    <t>Buena Vista Healthcare</t>
  </si>
  <si>
    <t>Bainbridge Island Health and Rehabilitation Center</t>
  </si>
  <si>
    <t>Olympia Transitional Care and Rehabilitation</t>
  </si>
  <si>
    <t>Advanced Post Acute</t>
  </si>
  <si>
    <t>University Place Rehabilitation Center</t>
  </si>
  <si>
    <t>Renton Nursing and Rehabilitation Center</t>
  </si>
  <si>
    <t>M Lalonde</t>
  </si>
  <si>
    <t>COLUMBIA LUTHERAN HOME</t>
  </si>
  <si>
    <t>CAREAGE OF WHIDBEY</t>
  </si>
  <si>
    <t>MISSION HEALTHCARE AT BELLEVUE</t>
  </si>
  <si>
    <t>WESLEY HOMES HEALTH CENTER</t>
  </si>
  <si>
    <t>Josephine Caring Community</t>
  </si>
  <si>
    <t>BOTHELL HEALTH CARE</t>
  </si>
  <si>
    <t>Paramount Rehabilitation and Nursing</t>
  </si>
  <si>
    <t>Lea Hill Rehabilitation and Care Center</t>
  </si>
  <si>
    <t>North Auburn Rehabilitation &amp; Health Center</t>
  </si>
  <si>
    <t>Aldercrest Health &amp; Rehabilitation Center</t>
  </si>
  <si>
    <t>Bremerton Convalescent &amp; Rehabilitation Center</t>
  </si>
  <si>
    <t>Riverside Nursing &amp; Rehabilitation Center</t>
  </si>
  <si>
    <t>Forest Ridge Health &amp; Rehabilitation Center</t>
  </si>
  <si>
    <t>Puget Sound Healthcare Center</t>
  </si>
  <si>
    <t>Crestwood Health &amp; Rehabilitation Center</t>
  </si>
  <si>
    <t>Sequim Health &amp; Rehabilitation Center</t>
  </si>
  <si>
    <t>Fir Lane Health &amp; Rehabilitation Center</t>
  </si>
  <si>
    <t>Franklin Hills Health &amp; Rehabilitation Center</t>
  </si>
  <si>
    <t>The Gardens on University</t>
  </si>
  <si>
    <t>Cashmere Care Center</t>
  </si>
  <si>
    <t>CRISTWOOD NURSING AND REHABILITATION</t>
  </si>
  <si>
    <t>WASHINGTON ODD FELLOWS HOME</t>
  </si>
  <si>
    <t>SUMMITVIEW HEALTHCARE CENTER</t>
  </si>
  <si>
    <t>FOSS HOME AND VILLAGE</t>
  </si>
  <si>
    <t>BAYVIEW MANOR</t>
  </si>
  <si>
    <t>Riverview Lutheran Retirement Community of Spokane</t>
  </si>
  <si>
    <t>DELTA REHABILITATION CENTER, INC</t>
  </si>
  <si>
    <t>TACOMA LUTHERAN RETIREMENT COMMUNITY</t>
  </si>
  <si>
    <t>ROO-LAN HEALTHCARE CENTER</t>
  </si>
  <si>
    <t>CHENEY CARE CENTER</t>
  </si>
  <si>
    <t>MCKAY HEALTHCARE &amp; REHAB CENTER</t>
  </si>
  <si>
    <t>ALLOWABLE THERAPY EXPENSE (Line 18 + Line 19)</t>
  </si>
  <si>
    <t>L</t>
  </si>
  <si>
    <t>OWNING INTEREST IN THE OPERATING ENTITY, SCHEDULE A PARTS H TO J NEED TO BE COMPLETED.</t>
  </si>
  <si>
    <t>Analyst_Name</t>
  </si>
  <si>
    <t>Vendor_ID</t>
  </si>
  <si>
    <t>AnalystSQLID</t>
  </si>
  <si>
    <t>NPI</t>
  </si>
  <si>
    <t>CAH/PHD</t>
  </si>
  <si>
    <t>Class26</t>
  </si>
  <si>
    <t>Class50</t>
  </si>
  <si>
    <t>Class62</t>
  </si>
  <si>
    <t>Class63</t>
  </si>
  <si>
    <t>Class45</t>
  </si>
  <si>
    <t>VentTrach</t>
  </si>
  <si>
    <t>Class54</t>
  </si>
  <si>
    <t>Vent_Trach</t>
  </si>
  <si>
    <t>PHDonly</t>
  </si>
  <si>
    <t>NPI CHECK</t>
  </si>
  <si>
    <t>P1 CHECK</t>
  </si>
  <si>
    <t>VENDOR&amp;NPI</t>
  </si>
  <si>
    <t>VENDOR&amp;P1</t>
  </si>
  <si>
    <t>National Provider Number Validation Check</t>
  </si>
  <si>
    <t>Vendor Number Validation Check</t>
  </si>
  <si>
    <t>Providerone ID Number Validation Check</t>
  </si>
  <si>
    <t>Purpose of Math Edit</t>
  </si>
  <si>
    <t>Cost Report Start Date</t>
  </si>
  <si>
    <t>Cost Report End Date</t>
  </si>
  <si>
    <t>Validate Cost Report Start Date</t>
  </si>
  <si>
    <t>Validate Cost Report End Date</t>
  </si>
  <si>
    <t>Verify that Sch. G-7 Therapy is reported on Sch. G.</t>
  </si>
  <si>
    <t>Verify that Sch. G-2 HO was completed for Home Office Reported on Sch. A</t>
  </si>
  <si>
    <t>Verify that Sch. G Fair Market Rental Prior Year Square Footage is reported</t>
  </si>
  <si>
    <t>Verify that Sch. G Fair Market Rental Total Square Footage in reported</t>
  </si>
  <si>
    <t>Verify that Sch. G Fair Market Rental Total Square Footage per Bed</t>
  </si>
  <si>
    <t>Verify that Sch. L Direct Care Line 1 is completed</t>
  </si>
  <si>
    <t>Verify that Sch. L Direct Care Line 2 is completed</t>
  </si>
  <si>
    <t>Verify that Sch. N Swing Beds are completed when Sch. M Swing Bed Days are reported</t>
  </si>
  <si>
    <t>Verify Sch. N Total Patient Days Line 13 is correct</t>
  </si>
  <si>
    <t>Verify that Sch. O Part B has at least one rate effective date completed in Column 1</t>
  </si>
  <si>
    <t>Verify that Sch. O Part B has at least one rate completed in Column 2</t>
  </si>
  <si>
    <t>[1] If management services, complete Schedule A Part G.</t>
  </si>
  <si>
    <t>Issaquah Nursing &amp; Rehabilitation Center</t>
  </si>
  <si>
    <t>C JENKINS</t>
  </si>
  <si>
    <t>PROSHARE REVENUE AND EXPENSES
“State Plan Supplement A to Attachment 4.19-D, Part 1 Page 1-3”</t>
  </si>
  <si>
    <t xml:space="preserve">MEDICAID BAD DEBTS </t>
  </si>
  <si>
    <t>NURSING FACILITY 2019 COST REPORT</t>
  </si>
  <si>
    <r>
      <rPr>
        <b/>
        <u val="single"/>
        <sz val="12"/>
        <rFont val="Calibri"/>
        <family val="2"/>
      </rPr>
      <t>Column 2:</t>
    </r>
    <r>
      <rPr>
        <b/>
        <sz val="12"/>
        <rFont val="Calibri"/>
        <family val="2"/>
      </rPr>
      <t xml:space="preserve">
 "Yes" or "No" if the Skilled Nursing Facility is currently licensed as a CCRC per RCW 18.390:</t>
    </r>
  </si>
  <si>
    <r>
      <rPr>
        <b/>
        <u val="single"/>
        <sz val="12"/>
        <rFont val="Calibri"/>
        <family val="2"/>
      </rPr>
      <t>Column 5:</t>
    </r>
    <r>
      <rPr>
        <b/>
        <sz val="12"/>
        <rFont val="Calibri"/>
        <family val="2"/>
      </rPr>
      <t xml:space="preserve">
Beds</t>
    </r>
  </si>
  <si>
    <r>
      <rPr>
        <b/>
        <u val="single"/>
        <sz val="12"/>
        <rFont val="Calibri"/>
        <family val="2"/>
      </rPr>
      <t>Column 6:</t>
    </r>
    <r>
      <rPr>
        <b/>
        <sz val="12"/>
        <rFont val="Calibri"/>
        <family val="2"/>
      </rPr>
      <t xml:space="preserve">
DSHS License Number</t>
    </r>
  </si>
  <si>
    <r>
      <rPr>
        <b/>
        <u val="single"/>
        <sz val="12"/>
        <rFont val="Calibri"/>
        <family val="2"/>
      </rPr>
      <t>Column 7:</t>
    </r>
    <r>
      <rPr>
        <b/>
        <sz val="12"/>
        <rFont val="Calibri"/>
        <family val="2"/>
      </rPr>
      <t xml:space="preserve">
Facility Name</t>
    </r>
  </si>
  <si>
    <r>
      <rPr>
        <b/>
        <u val="single"/>
        <sz val="12"/>
        <rFont val="Calibri"/>
        <family val="2"/>
      </rPr>
      <t>Column 8:</t>
    </r>
    <r>
      <rPr>
        <b/>
        <sz val="12"/>
        <rFont val="Calibri"/>
        <family val="2"/>
      </rPr>
      <t xml:space="preserve">
Facility Location Street Address</t>
    </r>
  </si>
  <si>
    <r>
      <rPr>
        <b/>
        <u val="single"/>
        <sz val="12"/>
        <rFont val="Calibri"/>
        <family val="2"/>
      </rPr>
      <t>Column 9:</t>
    </r>
    <r>
      <rPr>
        <b/>
        <sz val="12"/>
        <rFont val="Calibri"/>
        <family val="2"/>
      </rPr>
      <t xml:space="preserve">
Facility Location City</t>
    </r>
  </si>
  <si>
    <t>Line 3</t>
  </si>
  <si>
    <t>Line 4</t>
  </si>
  <si>
    <t>Line 5</t>
  </si>
  <si>
    <t>Line 6</t>
  </si>
  <si>
    <t>Percent of Skilled Nursing Facility beds per Safety Net Assessment CCRC Like Definition RCW 74.48.010 (2):</t>
  </si>
  <si>
    <r>
      <rPr>
        <b/>
        <u val="single"/>
        <sz val="12"/>
        <rFont val="Calibri"/>
        <family val="2"/>
      </rPr>
      <t>Column 1:</t>
    </r>
    <r>
      <rPr>
        <b/>
        <sz val="12"/>
        <rFont val="Calibri"/>
        <family val="2"/>
      </rPr>
      <t xml:space="preserve">
Line 1 is for the Skilled Nursing Services on the Certification page.  Lines 2 to 5 are for all Boarding Home/Assisted Living/Independent Living Services providing continuum services along with the Skilled Nursing Services per RCW 74.48.101 (2).</t>
    </r>
  </si>
  <si>
    <r>
      <rPr>
        <b/>
        <u val="single"/>
        <sz val="12"/>
        <rFont val="Calibri"/>
        <family val="2"/>
      </rPr>
      <t>Column 4:</t>
    </r>
    <r>
      <rPr>
        <b/>
        <sz val="12"/>
        <rFont val="Calibri"/>
        <family val="2"/>
      </rPr>
      <t xml:space="preserve">
Input in "Yes" or "No" if skilled nursing facility meets the following CCRC-Like criteria per RCW 74.48.010(2). Enter "Yes" or "No" even if Column 2 and Line 1 is not licensed as a CCRC under RCW 18.930:</t>
    </r>
  </si>
  <si>
    <t>(From Revenue/Census Report Class Code 50, 60, 62, 63, 66, and 67)</t>
  </si>
  <si>
    <t>Note 1: Include Class Code 20, 45, 50, 60, 62, 63, 66, and 67 in columns 1 and 2 for Unpaid Medicaid</t>
  </si>
  <si>
    <t>[3] Include Class Code 20, 45, 50, 60, 62, 63, 66, and 67 in columns 1 and 4 for Medicaid</t>
  </si>
  <si>
    <t>Skilled Nursing Services reported on Certification Page under chapter 18.51 RCW:  Complete Columns 2, 3, 4, and 6.</t>
  </si>
  <si>
    <t>#1 Boarding Home or Assisted Living Services under chapter 18.20 RCW providing continuum services along with the Skilled Nursing Services reported in Line 1:  Complete Columns 5 to 9 if applicable otherwise leave blank.</t>
  </si>
  <si>
    <t>#2. Boarding Home or Assisted Living Services under chapter 18.20 RCW providing continuum services along with the Skilled Nursing Services reported in Line 1:  Complete Columns 5 to 9 if applicable otherwise leave blank.</t>
  </si>
  <si>
    <t>#1 Independent Living Services providing continuum services along with the Skilled Nursing Services reported in Line 1:  Complete Columns 5, 7, 8 and 9 otherwise leave blank.</t>
  </si>
  <si>
    <t>#2 Independent Living Services providing continuum services along with the Skilled Nursing Services reported in Line 1:  Complete Columns 5, 7, 8, and 9 otherwise leave blank.</t>
  </si>
  <si>
    <t>RCW 74.48.010 DEFINITIONS:
(2) "Continuing care retirement community" means a facility that provides a continuum of services by one operational entity or related organization providing independent living services, or *boarding home or assisted living services under chapter 18.20 RCW, and skilled nursing services under chapter 18.51 RCW in a single contiguous campus. The number of licensed nursing home beds must be sixty percent or less of the total number of beds available in the entire continuing care retirement community. For purposes of this subsection "contiguous" means land adjoining or touching other property held by the same or related organization including land divided by a public road.</t>
  </si>
  <si>
    <t>RCW 18.390 DEFINITIONS:
(4) "Continuing care retirement community" means an entity that agrees to provide continuing care to a resident under a residency agreement. "Continuing care retirement community" does not include an assisted living facility licensed under chapter 18.20 RCW that does not directly, or through a contractual arrangement with a separately owned and incorporated skilled nursing facility, offer or provide services under chapter 74.42 RCW.</t>
  </si>
  <si>
    <t xml:space="preserve">PURPOSE: 
Determine if the skilled nursing facility reported on the Certification Page is exempt from paying the Safety Net Assessment by qualifying as residing in a CCRC Like situation as defined by RCW 74.48.010 (2).  </t>
  </si>
  <si>
    <t xml:space="preserve"> Safety Net Assessment Exemption for Continuing Care Retirement Community (CCRC-Like) </t>
  </si>
  <si>
    <t>(From Revenue/Census Report Class Code 68 and 69) See Note 4 Below.</t>
  </si>
  <si>
    <t>SWING BED REVENUE ((Jan to Jun  Swing Beds Days times Swing Bed Rate) plus (July to Dec Swing Bed Days times Swing Bed Rate))
((Sch. M column 2, Lines 1 to 6 times *197.28) + (Schedule M column 2, Lines 7 to 12 times * 207.64))</t>
  </si>
  <si>
    <t>Note 4: Include Class Code 68 and 69 days in columns 5 and 6 for Private/Other since Class Code 68 and 69 room and board is paid for by insurance/other.</t>
  </si>
  <si>
    <t>Unallowable Sole Source Enteral Feeding</t>
  </si>
  <si>
    <t>Note: Adjustments on this schedule must be numbered.  Use the adjustment numbers in column 7 from Schedules B and G.</t>
  </si>
  <si>
    <t>Determine Last Bed Count</t>
  </si>
  <si>
    <t>nf_location_num</t>
  </si>
  <si>
    <t>nf_state_vendor_num</t>
  </si>
  <si>
    <t>nf_vendor_start_dte</t>
  </si>
  <si>
    <t>nf_vendor_end_dte</t>
  </si>
  <si>
    <t>Location</t>
  </si>
  <si>
    <t>Vendor</t>
  </si>
  <si>
    <t>Name</t>
  </si>
  <si>
    <t>Vendor Start Date</t>
  </si>
  <si>
    <t>Vendor End Date</t>
  </si>
  <si>
    <t>This Schedule must be completed for the following Public Hospital District Nursing Homes Participating in ProShare:</t>
  </si>
  <si>
    <t>P</t>
  </si>
  <si>
    <t>8.  DSHS CONTRACT LICENSE NUMBER</t>
  </si>
  <si>
    <t>Validate DSHS Contract License Number</t>
  </si>
  <si>
    <t>Vendor_ID_All</t>
  </si>
  <si>
    <t>nf_license_num</t>
  </si>
  <si>
    <t>Vendor_ID_Imported</t>
  </si>
  <si>
    <t>Year</t>
  </si>
  <si>
    <t>nf_name</t>
  </si>
  <si>
    <t>Northwoods Lodge</t>
  </si>
  <si>
    <t>Sunshine Health &amp; Rehab</t>
  </si>
  <si>
    <t>Good Samaritan Society - Spokane Valley</t>
  </si>
  <si>
    <t>Good Samaritan Society - Stafholt</t>
  </si>
  <si>
    <t>Tacoma Nursing and Rehabilitation Center</t>
  </si>
  <si>
    <t>Fort Vancouver Post Acute</t>
  </si>
  <si>
    <t>M LaLonde</t>
  </si>
  <si>
    <t>Mission Healthcare at Renton</t>
  </si>
  <si>
    <t>O-1</t>
  </si>
  <si>
    <t>Line 13 Columns 6 and 7</t>
  </si>
  <si>
    <t>19</t>
  </si>
  <si>
    <t xml:space="preserve">EXPANDED COMMUNITY SERVICES (ECS),COMMUNITY HOME PROJECT (CHP), 
AND VENTILATOR/TRACHEOTOMY (VENT/TRACH) SETTLEMENT AMOUNTS </t>
  </si>
  <si>
    <t>Ventilator and Tracheotomy Nursing Facilities this year.</t>
  </si>
  <si>
    <t>Amounts for Column 3 and Column 5 should be taken from the MEDICAID REVENUE AND CENSUS REPORT, CLASS CODE 50, 60, 62, 63, 66, and 67. Use Billed Days and Billed Dollars.</t>
  </si>
  <si>
    <t>ADDITIONAL SETTLEMENT AMOUNT FOR EXPANDED COMMUNITY SERVICES, COMMUNITY HOME PROJECT, AND VENTILIATOR/TRACHEOTOMY (Supp. Sch. O-1, Col. 6, Line 13)</t>
  </si>
  <si>
    <t>Verify that Sch. G-1 was completed with NA or with Data</t>
  </si>
  <si>
    <t>Verify that Supp. Sch. O ECS,CHP, and Vent/Trach was completed with NA or with Data</t>
  </si>
  <si>
    <t>Q</t>
  </si>
  <si>
    <t>G-1</t>
  </si>
  <si>
    <t>Verify that Sch. G-2 HO was completed with NA or with Data</t>
  </si>
  <si>
    <t>G-2 HO</t>
  </si>
  <si>
    <t>Verify that Sch. G-2 was completed with NA or with Data</t>
  </si>
  <si>
    <t xml:space="preserve">G-2 </t>
  </si>
  <si>
    <t>Verify that Sch. G-7 was completed with NA or with Data</t>
  </si>
  <si>
    <t>G-7</t>
  </si>
  <si>
    <t>G-8</t>
  </si>
  <si>
    <t>Verify that Sch. G-8 was completed with NA or with Data</t>
  </si>
  <si>
    <t>Verify that Sch. P was completed with NA or with Data</t>
  </si>
  <si>
    <t>State</t>
  </si>
  <si>
    <t>County</t>
  </si>
  <si>
    <t>Public Hospital</t>
  </si>
  <si>
    <t>NA</t>
  </si>
  <si>
    <t>Tribal</t>
  </si>
  <si>
    <r>
      <rPr>
        <b/>
        <u val="single"/>
        <sz val="12"/>
        <rFont val="Calibri"/>
        <family val="2"/>
      </rPr>
      <t xml:space="preserve">Column A: </t>
    </r>
    <r>
      <rPr>
        <b/>
        <sz val="12"/>
        <rFont val="Calibri"/>
        <family val="2"/>
      </rPr>
      <t xml:space="preserve">
Do This First! Facilities </t>
    </r>
    <r>
      <rPr>
        <b/>
        <u val="single"/>
        <sz val="12"/>
        <rFont val="Calibri"/>
        <family val="2"/>
      </rPr>
      <t>Exempt From Completing Sch. Q</t>
    </r>
    <r>
      <rPr>
        <b/>
        <sz val="12"/>
        <rFont val="Calibri"/>
        <family val="2"/>
      </rPr>
      <t xml:space="preserve">: </t>
    </r>
    <r>
      <rPr>
        <sz val="12"/>
        <rFont val="Calibri"/>
        <family val="2"/>
      </rPr>
      <t xml:space="preserve">Per RCW 74.48.050 Exemption:  Nursing Facilities that are classified as a State, Tribal, County or Public Hospital Nursing Facility only need to complete this Column A Line 1 below.  All other nursing facilities must complete this Column A Line 1 below and all other Columns and Lines as needed.  </t>
    </r>
  </si>
  <si>
    <t>Yes</t>
  </si>
  <si>
    <t>No</t>
  </si>
  <si>
    <r>
      <rPr>
        <b/>
        <u val="single"/>
        <sz val="12"/>
        <rFont val="Calibri"/>
        <family val="2"/>
      </rPr>
      <t>Column 3:</t>
    </r>
    <r>
      <rPr>
        <b/>
        <sz val="12"/>
        <rFont val="Calibri"/>
        <family val="2"/>
      </rPr>
      <t xml:space="preserve">
If Column 2  Line 1 is "Yes", input "A" for CCRC Type A, "B" for CCRC Type B, or "C" for CCRC Type C.  Input "NA" if don't know or Column 2 Line 1 is "No":</t>
    </r>
  </si>
  <si>
    <t>C</t>
  </si>
  <si>
    <t xml:space="preserve">Verify that Sch. Q SNA CCRC Like was completed for Line 1 </t>
  </si>
  <si>
    <t>A,G-2 HO, and G-2</t>
  </si>
  <si>
    <t>A and G2-HO</t>
  </si>
  <si>
    <t>G and O-1</t>
  </si>
  <si>
    <t>Expanded Community Services and Community Home Project and 'TOTAL EXPANDED COMMUNITY SERVICES AND COMMUNITY HOME PROJECT</t>
  </si>
  <si>
    <t>Line 18 and Line 266</t>
  </si>
  <si>
    <t>LIFE CARE CENTER OF MOUNT VERNON</t>
  </si>
  <si>
    <t xml:space="preserve">PRESTIGE POST-ACUTE AND REHAB CENTER - KITTITAS </t>
  </si>
  <si>
    <t>locationNum</t>
  </si>
  <si>
    <t>i_NPI</t>
  </si>
  <si>
    <t>P1_ID</t>
  </si>
  <si>
    <t>Start</t>
  </si>
  <si>
    <t>End</t>
  </si>
  <si>
    <t>License</t>
  </si>
  <si>
    <t>P1 Check</t>
  </si>
  <si>
    <t>NPI Check</t>
  </si>
  <si>
    <t>Vendor Check</t>
  </si>
  <si>
    <t>Data Validation</t>
  </si>
  <si>
    <t xml:space="preserve">Verify that Sch. A bottom of Part D Lessor box was completed with Yes, No, NA </t>
  </si>
  <si>
    <t>Verify that Sch. A Part F box for NA is completed for no allocated expense</t>
  </si>
  <si>
    <t>='Supp Schedule_O-1'!G1</t>
  </si>
  <si>
    <t>Verify that Sch. A Part D box is completed with Yes or No for no management fees</t>
  </si>
  <si>
    <t>VENT/TRACH CLASS CODES 68 AND 69 REVENUE
See Note 4 below</t>
  </si>
  <si>
    <t>The associated Direct Care Non-Routine Expenses incurred as a result of Line 13 Column (6) ECS and CHP and Vent/Trach Revenue Over Routine Revenue is Unallowable:
#1.The related non-routine debit and credit expense for ECS should be reported on Sch G Other Patient Expenses Non-Routine section in Expanded Community Services and Community Home Project starting on Line 259 or Mental Health starting Line 251.  
#2. The related non-routine debit and credit expense for Vent/Trach (class codes 66/67) should be reported on Sch G Unallowable section for Ventilator Line 290 and Tracheotomy Line 291.  
#3.  If not reported as stated in #1 and #2 then an adjustment needs to be shown on Sch G Direct Care Revenue Offset Line 120 Account 9903. 
#4. All adjustments need to be described and shown on Sch. G-5.</t>
  </si>
  <si>
    <t>The associated Direct Care Non-Routine Expenses incurred as a result of Line 13 Column (7) Wrap Around Only Vent/Trach Revenue is Unallowable:
Line 13 Column (7) is for the Vent/Trach Class Codes 68 and 69 Revenue when client room and board are not paid by Medicaid but the wrap around portion of the rate is paid by Medicaid. 
#1. The related non-routine debit and credit expense for Vent/Trach (class codes 68/69) should be reported on Sch G Unallowable section for Ventilator Line 290 and Tracheotomy Line 291.  
#2.  If not reported as stated in #1 then an adjustment needs to be shown on Sch G Direct Care Revenue Offset Line 120 Account 9903. 
#3. All adjustments need to be described and shown on Sch. G-5.</t>
  </si>
  <si>
    <t>Verify that Sch. P Proshare Expenditures was completed for those Proshare Facilities</t>
  </si>
  <si>
    <t>Verify that Management Services/Fees was correctly reported  for Sch A Part G, Sch G-2 HO, and Sch G-2)</t>
  </si>
  <si>
    <t>Verify that totals are correct</t>
  </si>
  <si>
    <t>Verify that Schedule B was completed</t>
  </si>
  <si>
    <t>Verify that Average Private Rate was input</t>
  </si>
  <si>
    <t>Verify that Sch. G hours are reported when associated wages are reported</t>
  </si>
  <si>
    <t>Verify that Sch. M Total Medicaid Days Less Swing Bed Days are correct</t>
  </si>
  <si>
    <t>Verify that Sch. M Total Medicaid Payments Less Swing Bed Payments are correct</t>
  </si>
  <si>
    <t>Verify that Sch. N License Beds was completed</t>
  </si>
  <si>
    <t>Verify that Sch. N License Beds line 14 is correct count per last bed count per month Sch. N last column.</t>
  </si>
  <si>
    <t>Verify that Sch. N Hold Room days was input with not left blank</t>
  </si>
  <si>
    <t>Verify that Sch N. Column 9 License Beds was completed for each month day had days</t>
  </si>
  <si>
    <t>Verify that Sch. O Total Cost Per Patient Days is correct</t>
  </si>
  <si>
    <t>Verify ECS reported was reported correctly for Sch G revenue line 18 and expense line 266.</t>
  </si>
  <si>
    <t>Soundview Rehabilitation and Health Care Inc</t>
  </si>
  <si>
    <t>Shuksan Rehabilitation and Health Care</t>
  </si>
  <si>
    <t>ROUTINE CARE REVENUE PORTION OF ECS, CHP, AND VENT/TRACH</t>
  </si>
  <si>
    <t>TOTAL ECS,CHP, AND VENT/TRACH DAYS</t>
  </si>
  <si>
    <t>ECS, CHP, AND VENT/TRACH  REVENUE OVER ROUTINE REVENUE
See Note 3 below</t>
  </si>
  <si>
    <t>TOTAL ECS, CHP, AND VENT/TRACH REVENUE</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</si>
</sst>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_);[Red]\(#,##0.0\)"/>
    <numFmt numFmtId="168" formatCode="_(* #,##0.000_);_(* \(#,##0.000\);_(* &quot;-&quot;??_);_(@_)"/>
    <numFmt numFmtId="169" formatCode="_(* #,##0.0_);_(* \(#,##0.0\);_(* &quot;-&quot;??_);_(@_)"/>
    <numFmt numFmtId="170" formatCode="_(* #,##0_);_(* \(#,##0\);_(* &quot;-&quot;??_);_(@_)"/>
    <numFmt numFmtId="171" formatCode="_(&quot;$&quot;* #,##0.0_);_(&quot;$&quot;* \(#,##0.0\);_(&quot;$&quot;* &quot;-&quot;??_);_(@_)"/>
    <numFmt numFmtId="172" formatCode="_(&quot;$&quot;* #,##0_);_(&quot;$&quot;* \(#,##0\);_(&quot;$&quot;* &quot;-&quot;??_);_(@_)"/>
    <numFmt numFmtId="173" formatCode="#,##0.000_);[Red]\(#,##0.000\)"/>
    <numFmt numFmtId="174" formatCode="#,##0.0000_);[Red]\(#,##0.0000\)"/>
    <numFmt numFmtId="175" formatCode="&quot;$&quot;#,##0.0_);\(&quot;$&quot;#,##0.0\)"/>
    <numFmt numFmtId="176" formatCode="0.0000"/>
    <numFmt numFmtId="177" formatCode="&quot;$&quot;#,##0.000_);\(&quot;$&quot;#,##0.000\)"/>
    <numFmt numFmtId="178" formatCode="&quot;$&quot;#,##0.0000_);\(&quot;$&quot;#,##0.0000\)"/>
    <numFmt numFmtId="179" formatCode="0.00000"/>
    <numFmt numFmtId="180" formatCode="0.000000"/>
    <numFmt numFmtId="181" formatCode="_(* #,##0.0000_);_(* \(#,##0.0000\);_(* &quot;-&quot;??_);_(@_)"/>
    <numFmt numFmtId="182" formatCode="_(* #,##0.00000_);_(* \(#,##0.00000\);_(* &quot;-&quot;??_);_(@_)"/>
    <numFmt numFmtId="183" formatCode="_(* #,##0.000000_);_(* \(#,##0.000000\);_(* &quot;-&quot;??_);_(@_)"/>
    <numFmt numFmtId="184" formatCode="#,##0.0"/>
    <numFmt numFmtId="185" formatCode="#,##0.0000_);\(#,##0.0000\)"/>
    <numFmt numFmtId="186" formatCode="General_)"/>
    <numFmt numFmtId="187" formatCode="0_)"/>
    <numFmt numFmtId="188" formatCode="_(&quot;$&quot;* #,##0.000_);_(&quot;$&quot;* \(#,##0.000\);_(&quot;$&quot;* &quot;-&quot;??_);_(@_)"/>
    <numFmt numFmtId="189" formatCode="m/d/yy"/>
    <numFmt numFmtId="190" formatCode="m/d"/>
    <numFmt numFmtId="191" formatCode="mm/dd/yy"/>
    <numFmt numFmtId="192" formatCode="&quot;$&quot;#,##0.00"/>
    <numFmt numFmtId="193" formatCode="&quot;$&quot;#,##0"/>
    <numFmt numFmtId="194" formatCode="0.0000_);\(0.0000\)"/>
    <numFmt numFmtId="195" formatCode="#,##0.0_);\(#,##0.0\)"/>
    <numFmt numFmtId="196" formatCode="mmm\-yyyy"/>
    <numFmt numFmtId="197" formatCode="[$-409]dddd\,\ mmmm\ dd\,\ yyyy"/>
    <numFmt numFmtId="198" formatCode="m/d/yy;@"/>
    <numFmt numFmtId="199" formatCode="&quot;Yes&quot;;&quot;Yes&quot;;&quot;No&quot;"/>
    <numFmt numFmtId="200" formatCode="&quot;True&quot;;&quot;True&quot;;&quot;False&quot;"/>
    <numFmt numFmtId="201" formatCode="&quot;On&quot;;&quot;On&quot;;&quot;Off&quot;"/>
    <numFmt numFmtId="202" formatCode="[$€-2]\ #,##0.00_);[Red]\([$€-2]\ #,##0.00\)"/>
    <numFmt numFmtId="203" formatCode="mm/dd/yy;@"/>
    <numFmt numFmtId="204" formatCode="[$-409]h:mm:ss\ AM/PM"/>
    <numFmt numFmtId="205" formatCode="00"/>
    <numFmt numFmtId="206" formatCode="0_);\(0\)"/>
    <numFmt numFmtId="207" formatCode="0.000%"/>
    <numFmt numFmtId="208" formatCode="[$-409]dddd\,\ mmmm\ d\,\ yyyy"/>
    <numFmt numFmtId="209" formatCode="dd\-mmm\-yy"/>
  </numFmts>
  <fonts count="90">
    <font>
      <sz val="10"/>
      <name val="Arial"/>
      <family val="0"/>
    </font>
    <font>
      <b/>
      <sz val="10"/>
      <name val="Arial"/>
      <family val="0"/>
    </font>
    <font>
      <i/>
      <sz val="10"/>
      <name val="Arial"/>
      <family val="0"/>
    </font>
    <font>
      <b/>
      <i/>
      <sz val="10"/>
      <name val="Arial"/>
      <family val="0"/>
    </font>
    <font>
      <sz val="12"/>
      <name val="Times New Roman"/>
      <family val="1"/>
    </font>
    <font>
      <sz val="12"/>
      <name val="Arial"/>
      <family val="2"/>
    </font>
    <font>
      <b/>
      <sz val="14"/>
      <name val="Arial"/>
      <family val="2"/>
    </font>
    <font>
      <b/>
      <sz val="10"/>
      <name val="Times New Roman"/>
      <family val="1"/>
    </font>
    <font>
      <sz val="8"/>
      <name val="Times New Roman"/>
      <family val="1"/>
    </font>
    <font>
      <b/>
      <u val="single"/>
      <sz val="14"/>
      <name val="Times New Roman"/>
      <family val="1"/>
    </font>
    <font>
      <b/>
      <sz val="8"/>
      <name val="Times New Roman"/>
      <family val="1"/>
    </font>
    <font>
      <sz val="10"/>
      <name val="Times New Roman"/>
      <family val="1"/>
    </font>
    <font>
      <u val="single"/>
      <sz val="10"/>
      <name val="Times New Roman"/>
      <family val="1"/>
    </font>
    <font>
      <sz val="11"/>
      <name val="Times New Roman"/>
      <family val="1"/>
    </font>
    <font>
      <b/>
      <sz val="12"/>
      <name val="Times New Roman"/>
      <family val="1"/>
    </font>
    <font>
      <b/>
      <sz val="9"/>
      <name val="Times New Roman"/>
      <family val="1"/>
    </font>
    <font>
      <sz val="9"/>
      <name val="Times New Roman"/>
      <family val="1"/>
    </font>
    <font>
      <b/>
      <sz val="12"/>
      <name val="Arial"/>
      <family val="2"/>
    </font>
    <font>
      <sz val="11"/>
      <name val="Arial"/>
      <family val="2"/>
    </font>
    <font>
      <sz val="14"/>
      <name val="Times New Roman"/>
      <family val="1"/>
    </font>
    <font>
      <b/>
      <sz val="14"/>
      <name val="Times New Roman"/>
      <family val="1"/>
    </font>
    <font>
      <u val="single"/>
      <sz val="12"/>
      <name val="Times New Roman"/>
      <family val="1"/>
    </font>
    <font>
      <b/>
      <sz val="16"/>
      <name val="Arial"/>
      <family val="2"/>
    </font>
    <font>
      <b/>
      <sz val="20"/>
      <name val="Arial"/>
      <family val="2"/>
    </font>
    <font>
      <b/>
      <sz val="18"/>
      <name val="Arial"/>
      <family val="2"/>
    </font>
    <font>
      <b/>
      <sz val="18"/>
      <name val="Times New Roman"/>
      <family val="1"/>
    </font>
    <font>
      <sz val="10"/>
      <name val="Arial Narrow"/>
      <family val="2"/>
    </font>
    <font>
      <sz val="7"/>
      <name val="Times New Roman"/>
      <family val="1"/>
    </font>
    <font>
      <u val="single"/>
      <sz val="10"/>
      <color indexed="12"/>
      <name val="Arial"/>
      <family val="2"/>
    </font>
    <font>
      <u val="single"/>
      <sz val="10"/>
      <color indexed="36"/>
      <name val="Arial"/>
      <family val="2"/>
    </font>
    <font>
      <sz val="8"/>
      <name val="Tms Rmn"/>
      <family val="0"/>
    </font>
    <font>
      <sz val="10"/>
      <name val="Tms Rmn"/>
      <family val="0"/>
    </font>
    <font>
      <b/>
      <sz val="14"/>
      <name val="Helv"/>
      <family val="0"/>
    </font>
    <font>
      <sz val="8"/>
      <name val="Arial"/>
      <family val="2"/>
    </font>
    <font>
      <b/>
      <sz val="16"/>
      <name val="Times New Roman"/>
      <family val="1"/>
    </font>
    <font>
      <sz val="18"/>
      <name val="Times New Roman"/>
      <family val="1"/>
    </font>
    <font>
      <sz val="11"/>
      <name val="Calibri"/>
      <family val="2"/>
    </font>
    <font>
      <sz val="20"/>
      <name val="Times New Roman"/>
      <family val="1"/>
    </font>
    <font>
      <b/>
      <sz val="13.5"/>
      <name val="Times New Roman"/>
      <family val="1"/>
    </font>
    <font>
      <b/>
      <u val="single"/>
      <sz val="12"/>
      <name val="Times New Roman"/>
      <family val="1"/>
    </font>
    <font>
      <b/>
      <sz val="16"/>
      <name val="Tms Rmn"/>
      <family val="0"/>
    </font>
    <font>
      <sz val="11"/>
      <color indexed="8"/>
      <name val="Calibri"/>
      <family val="2"/>
    </font>
    <font>
      <sz val="10"/>
      <color indexed="8"/>
      <name val="Arial"/>
      <family val="2"/>
    </font>
    <font>
      <b/>
      <sz val="12"/>
      <name val="Calibri"/>
      <family val="2"/>
    </font>
    <font>
      <b/>
      <u val="single"/>
      <sz val="12"/>
      <name val="Calibri"/>
      <family val="2"/>
    </font>
    <font>
      <sz val="12"/>
      <name val="Tms Rmn"/>
      <family val="0"/>
    </font>
    <font>
      <sz val="12"/>
      <color indexed="8"/>
      <name val="Times New Roman"/>
      <family val="1"/>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8"/>
      <name val="Times New Roman"/>
      <family val="1"/>
    </font>
    <font>
      <b/>
      <sz val="14"/>
      <name val="Calibri"/>
      <family val="2"/>
    </font>
    <font>
      <sz val="10"/>
      <color indexed="8"/>
      <name val="Times New Roman"/>
      <family val="0"/>
    </font>
    <font>
      <sz val="1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Arial"/>
      <family val="2"/>
    </font>
    <font>
      <sz val="8"/>
      <color rgb="FF000000"/>
      <name val="Times New Roman"/>
      <family val="1"/>
    </font>
    <font>
      <sz val="12"/>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lightGray">
        <fgColor indexed="8"/>
      </patternFill>
    </fill>
    <fill>
      <patternFill patternType="solid">
        <fgColor indexed="21"/>
        <bgColor indexed="64"/>
      </patternFill>
    </fill>
    <fill>
      <patternFill patternType="solid">
        <fgColor indexed="10"/>
        <bgColor indexed="64"/>
      </patternFill>
    </fill>
    <fill>
      <patternFill patternType="solid">
        <fgColor theme="2"/>
        <bgColor indexed="64"/>
      </patternFill>
    </fill>
    <fill>
      <patternFill patternType="solid">
        <fgColor theme="0" tint="-0.24997000396251678"/>
        <bgColor indexed="64"/>
      </patternFill>
    </fill>
    <fill>
      <patternFill patternType="solid">
        <fgColor theme="1" tint="0.15000000596046448"/>
        <bgColor indexed="64"/>
      </patternFill>
    </fill>
    <fill>
      <patternFill patternType="solid">
        <fgColor indexed="8"/>
        <bgColor indexed="64"/>
      </patternFill>
    </fill>
    <fill>
      <patternFill patternType="solid">
        <fgColor theme="0"/>
        <bgColor indexed="64"/>
      </patternFill>
    </fill>
    <fill>
      <patternFill patternType="solid">
        <fgColor indexed="55"/>
        <bgColor indexed="64"/>
      </patternFill>
    </fill>
    <fill>
      <patternFill patternType="solid">
        <fgColor theme="0" tint="-0.4999699890613556"/>
        <bgColor indexed="64"/>
      </patternFill>
    </fill>
    <fill>
      <patternFill patternType="solid">
        <fgColor indexed="22"/>
        <bgColor indexed="64"/>
      </patternFill>
    </fill>
    <fill>
      <patternFill patternType="solid">
        <fgColor theme="1" tint="0.49998000264167786"/>
        <bgColor indexed="64"/>
      </patternFill>
    </fill>
    <fill>
      <patternFill patternType="solid">
        <fgColor theme="0" tint="-0.3499799966812134"/>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thin"/>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style="medium"/>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medium"/>
      <top style="medium"/>
      <bottom style="thin"/>
    </border>
    <border>
      <left>
        <color indexed="63"/>
      </left>
      <right style="thin"/>
      <top style="medium"/>
      <bottom>
        <color indexed="63"/>
      </bottom>
    </border>
    <border>
      <left>
        <color indexed="63"/>
      </left>
      <right style="thin"/>
      <top style="medium"/>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medium"/>
      <right style="medium"/>
      <top>
        <color indexed="63"/>
      </top>
      <bottom>
        <color indexed="63"/>
      </bottom>
    </border>
    <border>
      <left style="thin"/>
      <right style="medium"/>
      <top style="thin"/>
      <bottom style="medium"/>
    </border>
    <border>
      <left>
        <color indexed="63"/>
      </left>
      <right style="medium">
        <color indexed="8"/>
      </right>
      <top>
        <color indexed="63"/>
      </top>
      <bottom style="thin">
        <color indexed="8"/>
      </bottom>
    </border>
    <border>
      <left style="medium"/>
      <right>
        <color indexed="63"/>
      </right>
      <top style="medium"/>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medium"/>
      <right style="thin"/>
      <top style="medium"/>
      <bottom>
        <color indexed="63"/>
      </bottom>
    </border>
    <border>
      <left style="thin"/>
      <right style="medium"/>
      <top style="double"/>
      <bottom style="double"/>
    </border>
    <border>
      <left style="medium"/>
      <right style="thin"/>
      <top style="thin"/>
      <bottom style="thin"/>
    </border>
    <border>
      <left style="thin"/>
      <right style="medium"/>
      <top style="double"/>
      <bottom>
        <color indexed="63"/>
      </bottom>
    </border>
    <border>
      <left style="thin"/>
      <right style="medium"/>
      <top>
        <color indexed="63"/>
      </top>
      <bottom style="double"/>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color indexed="8"/>
      </right>
      <top style="thin"/>
      <bottom style="medium"/>
    </border>
    <border>
      <left style="thin"/>
      <right style="thin"/>
      <top style="medium"/>
      <bottom style="thin"/>
    </border>
    <border>
      <left style="medium"/>
      <right style="medium"/>
      <top style="medium"/>
      <bottom style="thin"/>
    </border>
    <border>
      <left style="medium"/>
      <right>
        <color indexed="63"/>
      </right>
      <top style="thick"/>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medium"/>
      <right style="medium"/>
      <top style="medium"/>
      <bottom style="thick"/>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29"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42" fillId="0" borderId="0">
      <alignment/>
      <protection/>
    </xf>
    <xf numFmtId="0" fontId="42" fillId="0" borderId="0">
      <alignment/>
      <protection/>
    </xf>
    <xf numFmtId="0" fontId="4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903">
    <xf numFmtId="0" fontId="0" fillId="0" borderId="0" xfId="0" applyAlignment="1">
      <alignment/>
    </xf>
    <xf numFmtId="0" fontId="4" fillId="0" borderId="0" xfId="64">
      <alignment/>
      <protection/>
    </xf>
    <xf numFmtId="0" fontId="5" fillId="0" borderId="0" xfId="64" applyFont="1" applyAlignment="1">
      <alignment horizontal="centerContinuous"/>
      <protection/>
    </xf>
    <xf numFmtId="0" fontId="4" fillId="0" borderId="0" xfId="64" applyAlignment="1">
      <alignment horizontal="centerContinuous"/>
      <protection/>
    </xf>
    <xf numFmtId="0" fontId="6" fillId="0" borderId="0" xfId="64" applyFont="1" applyAlignment="1">
      <alignment horizontal="centerContinuous"/>
      <protection/>
    </xf>
    <xf numFmtId="0" fontId="7" fillId="0" borderId="0" xfId="64" applyFont="1">
      <alignment/>
      <protection/>
    </xf>
    <xf numFmtId="0" fontId="8" fillId="0" borderId="0" xfId="64" applyFont="1">
      <alignment/>
      <protection/>
    </xf>
    <xf numFmtId="0" fontId="8" fillId="0" borderId="10" xfId="64" applyFont="1" applyBorder="1">
      <alignment/>
      <protection/>
    </xf>
    <xf numFmtId="0" fontId="8" fillId="0" borderId="11" xfId="64" applyFont="1" applyBorder="1">
      <alignment/>
      <protection/>
    </xf>
    <xf numFmtId="0" fontId="8" fillId="0" borderId="12" xfId="64" applyFont="1" applyBorder="1">
      <alignment/>
      <protection/>
    </xf>
    <xf numFmtId="0" fontId="8" fillId="0" borderId="13" xfId="64" applyFont="1" applyBorder="1">
      <alignment/>
      <protection/>
    </xf>
    <xf numFmtId="0" fontId="4" fillId="0" borderId="14" xfId="64" applyBorder="1" applyProtection="1">
      <alignment/>
      <protection locked="0"/>
    </xf>
    <xf numFmtId="0" fontId="4" fillId="0" borderId="15" xfId="64" applyBorder="1">
      <alignment/>
      <protection/>
    </xf>
    <xf numFmtId="0" fontId="4" fillId="0" borderId="16" xfId="64" applyBorder="1" applyProtection="1">
      <alignment/>
      <protection locked="0"/>
    </xf>
    <xf numFmtId="0" fontId="4" fillId="0" borderId="17" xfId="64" applyBorder="1">
      <alignment/>
      <protection/>
    </xf>
    <xf numFmtId="0" fontId="9" fillId="0" borderId="0" xfId="64" applyFont="1">
      <alignment/>
      <protection/>
    </xf>
    <xf numFmtId="0" fontId="8" fillId="0" borderId="18" xfId="64" applyFont="1" applyBorder="1">
      <alignment/>
      <protection/>
    </xf>
    <xf numFmtId="0" fontId="8" fillId="0" borderId="0" xfId="64" applyFont="1" applyBorder="1">
      <alignment/>
      <protection/>
    </xf>
    <xf numFmtId="0" fontId="8" fillId="0" borderId="19" xfId="64" applyFont="1" applyBorder="1">
      <alignment/>
      <protection/>
    </xf>
    <xf numFmtId="0" fontId="8" fillId="0" borderId="20" xfId="64" applyFont="1" applyBorder="1">
      <alignment/>
      <protection/>
    </xf>
    <xf numFmtId="0" fontId="4" fillId="0" borderId="15" xfId="64" applyBorder="1" applyProtection="1">
      <alignment/>
      <protection locked="0"/>
    </xf>
    <xf numFmtId="0" fontId="4" fillId="0" borderId="15" xfId="64" applyBorder="1" applyAlignment="1" applyProtection="1">
      <alignment horizontal="left"/>
      <protection locked="0"/>
    </xf>
    <xf numFmtId="0" fontId="4" fillId="0" borderId="17" xfId="64" applyBorder="1" applyAlignment="1" applyProtection="1">
      <alignment horizontal="left"/>
      <protection locked="0"/>
    </xf>
    <xf numFmtId="0" fontId="4" fillId="0" borderId="15" xfId="64" applyBorder="1" applyProtection="1">
      <alignment/>
      <protection/>
    </xf>
    <xf numFmtId="0" fontId="8" fillId="0" borderId="18" xfId="64" applyFont="1" applyBorder="1" applyAlignment="1" applyProtection="1">
      <alignment/>
      <protection/>
    </xf>
    <xf numFmtId="0" fontId="4" fillId="0" borderId="0" xfId="64" applyBorder="1" applyAlignment="1">
      <alignment/>
      <protection/>
    </xf>
    <xf numFmtId="0" fontId="8" fillId="0" borderId="21" xfId="64" applyFont="1" applyBorder="1" applyAlignment="1">
      <alignment/>
      <protection/>
    </xf>
    <xf numFmtId="0" fontId="8" fillId="0" borderId="0" xfId="64" applyFont="1" applyBorder="1" applyAlignment="1">
      <alignment/>
      <protection/>
    </xf>
    <xf numFmtId="0" fontId="8" fillId="0" borderId="20" xfId="64" applyFont="1" applyBorder="1" applyAlignment="1">
      <alignment/>
      <protection/>
    </xf>
    <xf numFmtId="0" fontId="4" fillId="0" borderId="22" xfId="64" applyBorder="1" applyProtection="1">
      <alignment/>
      <protection locked="0"/>
    </xf>
    <xf numFmtId="0" fontId="4" fillId="0" borderId="23" xfId="64" applyBorder="1">
      <alignment/>
      <protection/>
    </xf>
    <xf numFmtId="0" fontId="4" fillId="0" borderId="24" xfId="64" applyBorder="1">
      <alignment/>
      <protection/>
    </xf>
    <xf numFmtId="0" fontId="4" fillId="0" borderId="23" xfId="64" applyBorder="1" applyProtection="1">
      <alignment/>
      <protection locked="0"/>
    </xf>
    <xf numFmtId="0" fontId="4" fillId="0" borderId="25" xfId="64" applyBorder="1">
      <alignment/>
      <protection/>
    </xf>
    <xf numFmtId="0" fontId="10" fillId="0" borderId="10" xfId="64" applyFont="1" applyBorder="1" applyAlignment="1">
      <alignment horizontal="centerContinuous"/>
      <protection/>
    </xf>
    <xf numFmtId="0" fontId="8" fillId="0" borderId="11" xfId="64" applyFont="1" applyBorder="1" applyAlignment="1">
      <alignment horizontal="centerContinuous"/>
      <protection/>
    </xf>
    <xf numFmtId="0" fontId="8" fillId="0" borderId="13" xfId="64" applyFont="1" applyBorder="1" applyAlignment="1">
      <alignment horizontal="centerContinuous"/>
      <protection/>
    </xf>
    <xf numFmtId="0" fontId="10" fillId="0" borderId="18" xfId="64" applyFont="1" applyBorder="1" applyAlignment="1">
      <alignment horizontal="centerContinuous"/>
      <protection/>
    </xf>
    <xf numFmtId="0" fontId="8" fillId="0" borderId="0" xfId="64" applyFont="1" applyBorder="1" applyAlignment="1">
      <alignment horizontal="centerContinuous"/>
      <protection/>
    </xf>
    <xf numFmtId="0" fontId="8" fillId="0" borderId="20" xfId="64" applyFont="1" applyBorder="1" applyAlignment="1">
      <alignment horizontal="centerContinuous"/>
      <protection/>
    </xf>
    <xf numFmtId="0" fontId="4" fillId="0" borderId="18" xfId="64" applyBorder="1">
      <alignment/>
      <protection/>
    </xf>
    <xf numFmtId="0" fontId="4" fillId="0" borderId="0" xfId="64" applyBorder="1">
      <alignment/>
      <protection/>
    </xf>
    <xf numFmtId="0" fontId="4" fillId="0" borderId="20" xfId="64" applyBorder="1">
      <alignment/>
      <protection/>
    </xf>
    <xf numFmtId="0" fontId="11" fillId="0" borderId="0" xfId="64" applyFont="1">
      <alignment/>
      <protection/>
    </xf>
    <xf numFmtId="0" fontId="11" fillId="0" borderId="18" xfId="64" applyFont="1" applyBorder="1" applyProtection="1">
      <alignment/>
      <protection/>
    </xf>
    <xf numFmtId="0" fontId="11" fillId="0" borderId="0" xfId="64" applyFont="1" applyBorder="1">
      <alignment/>
      <protection/>
    </xf>
    <xf numFmtId="0" fontId="11" fillId="0" borderId="20" xfId="64" applyFont="1" applyBorder="1">
      <alignment/>
      <protection/>
    </xf>
    <xf numFmtId="0" fontId="11" fillId="0" borderId="18" xfId="64" applyFont="1" applyBorder="1" applyAlignment="1" quotePrefix="1">
      <alignment horizontal="left"/>
      <protection/>
    </xf>
    <xf numFmtId="0" fontId="4" fillId="0" borderId="15" xfId="64" applyFont="1" applyBorder="1" applyProtection="1">
      <alignment/>
      <protection locked="0"/>
    </xf>
    <xf numFmtId="0" fontId="11" fillId="0" borderId="15" xfId="64" applyFont="1" applyBorder="1">
      <alignment/>
      <protection/>
    </xf>
    <xf numFmtId="0" fontId="4" fillId="0" borderId="0" xfId="64" applyBorder="1" applyAlignment="1">
      <alignment horizontal="centerContinuous"/>
      <protection/>
    </xf>
    <xf numFmtId="0" fontId="4" fillId="0" borderId="20" xfId="64" applyBorder="1" applyAlignment="1">
      <alignment horizontal="centerContinuous"/>
      <protection/>
    </xf>
    <xf numFmtId="0" fontId="13" fillId="0" borderId="18" xfId="64" applyFont="1" applyBorder="1" applyAlignment="1" quotePrefix="1">
      <alignment horizontal="left"/>
      <protection/>
    </xf>
    <xf numFmtId="0" fontId="13" fillId="0" borderId="0" xfId="64" applyFont="1">
      <alignment/>
      <protection/>
    </xf>
    <xf numFmtId="0" fontId="13" fillId="0" borderId="18" xfId="64" applyFont="1" applyBorder="1">
      <alignment/>
      <protection/>
    </xf>
    <xf numFmtId="0" fontId="4" fillId="0" borderId="15" xfId="64" applyFont="1" applyBorder="1">
      <alignment/>
      <protection/>
    </xf>
    <xf numFmtId="0" fontId="13" fillId="0" borderId="0" xfId="64" applyFont="1" applyBorder="1">
      <alignment/>
      <protection/>
    </xf>
    <xf numFmtId="0" fontId="13" fillId="0" borderId="20" xfId="64" applyFont="1" applyBorder="1">
      <alignment/>
      <protection/>
    </xf>
    <xf numFmtId="0" fontId="11" fillId="0" borderId="0" xfId="64" applyFont="1" applyBorder="1" applyAlignment="1">
      <alignment horizontal="right"/>
      <protection/>
    </xf>
    <xf numFmtId="0" fontId="13" fillId="0" borderId="18" xfId="64" applyFont="1" applyBorder="1" applyAlignment="1" applyProtection="1">
      <alignment horizontal="left"/>
      <protection/>
    </xf>
    <xf numFmtId="0" fontId="4" fillId="0" borderId="0" xfId="64" applyBorder="1" applyAlignment="1" applyProtection="1">
      <alignment horizontal="center"/>
      <protection/>
    </xf>
    <xf numFmtId="0" fontId="4" fillId="0" borderId="0" xfId="64" applyProtection="1">
      <alignment/>
      <protection/>
    </xf>
    <xf numFmtId="0" fontId="4" fillId="0" borderId="0" xfId="64" applyBorder="1" applyAlignment="1" applyProtection="1">
      <alignment horizontal="left"/>
      <protection/>
    </xf>
    <xf numFmtId="0" fontId="8" fillId="0" borderId="0" xfId="64" applyFont="1" applyBorder="1" applyAlignment="1" applyProtection="1">
      <alignment horizontal="centerContinuous" vertical="top"/>
      <protection/>
    </xf>
    <xf numFmtId="0" fontId="4" fillId="0" borderId="22" xfId="64" applyBorder="1">
      <alignment/>
      <protection/>
    </xf>
    <xf numFmtId="0" fontId="4" fillId="0" borderId="10" xfId="64" applyBorder="1">
      <alignment/>
      <protection/>
    </xf>
    <xf numFmtId="0" fontId="4" fillId="0" borderId="11" xfId="64" applyBorder="1">
      <alignment/>
      <protection/>
    </xf>
    <xf numFmtId="0" fontId="4" fillId="0" borderId="11" xfId="64" applyBorder="1" applyAlignment="1">
      <alignment horizontal="right"/>
      <protection/>
    </xf>
    <xf numFmtId="0" fontId="14" fillId="0" borderId="11" xfId="64" applyFont="1" applyBorder="1">
      <alignment/>
      <protection/>
    </xf>
    <xf numFmtId="0" fontId="4" fillId="0" borderId="13" xfId="64" applyBorder="1">
      <alignment/>
      <protection/>
    </xf>
    <xf numFmtId="0" fontId="14" fillId="0" borderId="0" xfId="64" applyFont="1" applyBorder="1">
      <alignment/>
      <protection/>
    </xf>
    <xf numFmtId="0" fontId="14" fillId="0" borderId="23" xfId="64" applyFont="1" applyBorder="1">
      <alignment/>
      <protection/>
    </xf>
    <xf numFmtId="0" fontId="4" fillId="0" borderId="0" xfId="64" applyAlignment="1">
      <alignment horizontal="right"/>
      <protection/>
    </xf>
    <xf numFmtId="14" fontId="4" fillId="0" borderId="15" xfId="64" applyNumberFormat="1" applyBorder="1" applyAlignment="1">
      <alignment horizontal="left"/>
      <protection/>
    </xf>
    <xf numFmtId="0" fontId="8" fillId="0" borderId="18" xfId="64" applyFont="1" applyBorder="1" applyAlignment="1" applyProtection="1" quotePrefix="1">
      <alignment horizontal="left" vertical="top"/>
      <protection/>
    </xf>
    <xf numFmtId="0" fontId="8" fillId="0" borderId="0" xfId="64" applyFont="1" applyBorder="1" applyAlignment="1" applyProtection="1">
      <alignment horizontal="centerContinuous" vertical="top" wrapText="1"/>
      <protection/>
    </xf>
    <xf numFmtId="0" fontId="8" fillId="0" borderId="20" xfId="64" applyFont="1" applyBorder="1" applyAlignment="1" applyProtection="1">
      <alignment horizontal="centerContinuous" vertical="top"/>
      <protection/>
    </xf>
    <xf numFmtId="0" fontId="8" fillId="0" borderId="15" xfId="64" applyFont="1" applyBorder="1" applyAlignment="1" applyProtection="1">
      <alignment horizontal="centerContinuous" vertical="top" wrapText="1"/>
      <protection/>
    </xf>
    <xf numFmtId="0" fontId="8" fillId="0" borderId="17" xfId="64" applyFont="1" applyBorder="1" applyAlignment="1" applyProtection="1">
      <alignment horizontal="centerContinuous" vertical="top"/>
      <protection/>
    </xf>
    <xf numFmtId="0" fontId="8" fillId="0" borderId="0" xfId="64" applyFont="1" applyProtection="1">
      <alignment/>
      <protection/>
    </xf>
    <xf numFmtId="0" fontId="16" fillId="0" borderId="0" xfId="64" applyFont="1">
      <alignment/>
      <protection/>
    </xf>
    <xf numFmtId="0" fontId="16" fillId="0" borderId="26" xfId="64" applyFont="1" applyBorder="1" applyAlignment="1" quotePrefix="1">
      <alignment horizontal="left" vertical="center"/>
      <protection/>
    </xf>
    <xf numFmtId="0" fontId="16" fillId="0" borderId="27" xfId="64" applyFont="1" applyBorder="1">
      <alignment/>
      <protection/>
    </xf>
    <xf numFmtId="0" fontId="16" fillId="0" borderId="28" xfId="64" applyFont="1" applyBorder="1">
      <alignment/>
      <protection/>
    </xf>
    <xf numFmtId="0" fontId="8" fillId="0" borderId="29" xfId="64" applyFont="1" applyBorder="1">
      <alignment/>
      <protection/>
    </xf>
    <xf numFmtId="0" fontId="4" fillId="0" borderId="30" xfId="64" applyBorder="1" applyProtection="1">
      <alignment/>
      <protection locked="0"/>
    </xf>
    <xf numFmtId="0" fontId="8" fillId="0" borderId="14" xfId="64" applyFont="1" applyBorder="1" applyAlignment="1" quotePrefix="1">
      <alignment horizontal="left"/>
      <protection/>
    </xf>
    <xf numFmtId="0" fontId="8" fillId="0" borderId="15" xfId="64" applyFont="1" applyBorder="1">
      <alignment/>
      <protection/>
    </xf>
    <xf numFmtId="0" fontId="8" fillId="0" borderId="17" xfId="64" applyFont="1" applyBorder="1">
      <alignment/>
      <protection/>
    </xf>
    <xf numFmtId="0" fontId="10" fillId="0" borderId="19" xfId="64" applyFont="1" applyBorder="1">
      <alignment/>
      <protection/>
    </xf>
    <xf numFmtId="0" fontId="4" fillId="0" borderId="16" xfId="64" applyBorder="1" applyAlignment="1" applyProtection="1" quotePrefix="1">
      <alignment horizontal="left"/>
      <protection locked="0"/>
    </xf>
    <xf numFmtId="0" fontId="4" fillId="0" borderId="16" xfId="64" applyBorder="1" applyAlignment="1" applyProtection="1">
      <alignment horizontal="left"/>
      <protection locked="0"/>
    </xf>
    <xf numFmtId="14" fontId="4" fillId="0" borderId="31" xfId="64" applyNumberFormat="1" applyBorder="1" applyAlignment="1" applyProtection="1">
      <alignment horizontal="left"/>
      <protection locked="0"/>
    </xf>
    <xf numFmtId="0" fontId="4" fillId="0" borderId="31" xfId="64" applyBorder="1" applyAlignment="1" applyProtection="1">
      <alignment horizontal="left"/>
      <protection locked="0"/>
    </xf>
    <xf numFmtId="0" fontId="4" fillId="0" borderId="30" xfId="64" applyBorder="1" applyAlignment="1" applyProtection="1">
      <alignment horizontal="left"/>
      <protection locked="0"/>
    </xf>
    <xf numFmtId="0" fontId="4" fillId="0" borderId="32" xfId="64" applyBorder="1" applyAlignment="1" applyProtection="1">
      <alignment horizontal="left"/>
      <protection locked="0"/>
    </xf>
    <xf numFmtId="0" fontId="11" fillId="0" borderId="0" xfId="64" applyFont="1" applyAlignment="1" quotePrefix="1">
      <alignment horizontal="left"/>
      <protection/>
    </xf>
    <xf numFmtId="0" fontId="7" fillId="0" borderId="0" xfId="64" applyFont="1" applyAlignment="1">
      <alignment horizontal="right"/>
      <protection/>
    </xf>
    <xf numFmtId="0" fontId="8" fillId="0" borderId="14" xfId="64" applyFont="1" applyBorder="1">
      <alignment/>
      <protection/>
    </xf>
    <xf numFmtId="0" fontId="4" fillId="0" borderId="0" xfId="65">
      <alignment/>
      <protection/>
    </xf>
    <xf numFmtId="0" fontId="4" fillId="0" borderId="0" xfId="65" applyAlignment="1">
      <alignment horizontal="right"/>
      <protection/>
    </xf>
    <xf numFmtId="0" fontId="4" fillId="0" borderId="0" xfId="65" applyBorder="1">
      <alignment/>
      <protection/>
    </xf>
    <xf numFmtId="0" fontId="4" fillId="0" borderId="15" xfId="65" applyBorder="1" applyAlignment="1">
      <alignment horizontal="left"/>
      <protection/>
    </xf>
    <xf numFmtId="0" fontId="4" fillId="0" borderId="0" xfId="65" applyBorder="1" applyAlignment="1">
      <alignment horizontal="left"/>
      <protection/>
    </xf>
    <xf numFmtId="0" fontId="6" fillId="0" borderId="0" xfId="65" applyFont="1" applyAlignment="1">
      <alignment horizontal="centerContinuous"/>
      <protection/>
    </xf>
    <xf numFmtId="0" fontId="4" fillId="0" borderId="0" xfId="65" applyAlignment="1">
      <alignment horizontal="centerContinuous"/>
      <protection/>
    </xf>
    <xf numFmtId="0" fontId="17" fillId="0" borderId="0" xfId="65" applyFont="1" applyAlignment="1">
      <alignment horizontal="centerContinuous"/>
      <protection/>
    </xf>
    <xf numFmtId="0" fontId="18" fillId="0" borderId="0" xfId="65" applyFont="1" applyAlignment="1">
      <alignment horizontal="centerContinuous"/>
      <protection/>
    </xf>
    <xf numFmtId="0" fontId="4" fillId="0" borderId="0" xfId="65" applyAlignment="1">
      <alignment horizontal="center"/>
      <protection/>
    </xf>
    <xf numFmtId="0" fontId="4" fillId="0" borderId="15" xfId="65" applyBorder="1" applyProtection="1">
      <alignment/>
      <protection/>
    </xf>
    <xf numFmtId="0" fontId="4" fillId="0" borderId="15" xfId="65" applyBorder="1" applyAlignment="1" applyProtection="1">
      <alignment horizontal="left"/>
      <protection locked="0"/>
    </xf>
    <xf numFmtId="0" fontId="17" fillId="0" borderId="0" xfId="65" applyFont="1" applyAlignment="1">
      <alignment horizontal="center"/>
      <protection/>
    </xf>
    <xf numFmtId="0" fontId="7" fillId="0" borderId="0" xfId="65" applyFont="1">
      <alignment/>
      <protection/>
    </xf>
    <xf numFmtId="0" fontId="4" fillId="0" borderId="10" xfId="65" applyBorder="1" applyAlignment="1">
      <alignment horizontal="centerContinuous" vertical="center" wrapText="1"/>
      <protection/>
    </xf>
    <xf numFmtId="0" fontId="4" fillId="0" borderId="12" xfId="65" applyFont="1" applyBorder="1" applyAlignment="1">
      <alignment horizontal="centerContinuous" vertical="center" wrapText="1"/>
      <protection/>
    </xf>
    <xf numFmtId="0" fontId="4" fillId="0" borderId="11" xfId="65" applyFont="1" applyBorder="1" applyAlignment="1">
      <alignment horizontal="centerContinuous" vertical="center" wrapText="1"/>
      <protection/>
    </xf>
    <xf numFmtId="0" fontId="4" fillId="0" borderId="12" xfId="65" applyFont="1" applyBorder="1" applyAlignment="1">
      <alignment horizontal="center" vertical="center" wrapText="1"/>
      <protection/>
    </xf>
    <xf numFmtId="0" fontId="4" fillId="0" borderId="33" xfId="65" applyFont="1" applyBorder="1" applyAlignment="1">
      <alignment horizontal="centerContinuous" vertical="center" wrapText="1"/>
      <protection/>
    </xf>
    <xf numFmtId="0" fontId="4" fillId="0" borderId="34" xfId="65" applyFont="1" applyBorder="1" applyAlignment="1">
      <alignment horizontal="centerContinuous" vertical="center" wrapText="1"/>
      <protection/>
    </xf>
    <xf numFmtId="0" fontId="4" fillId="0" borderId="18" xfId="65" applyBorder="1" applyAlignment="1">
      <alignment horizontal="centerContinuous" vertical="center" wrapText="1"/>
      <protection/>
    </xf>
    <xf numFmtId="0" fontId="4" fillId="0" borderId="19" xfId="65" applyBorder="1" applyAlignment="1">
      <alignment horizontal="centerContinuous" vertical="center" wrapText="1"/>
      <protection/>
    </xf>
    <xf numFmtId="0" fontId="4" fillId="0" borderId="0" xfId="65" applyBorder="1" applyAlignment="1">
      <alignment horizontal="centerContinuous" vertical="center" wrapText="1"/>
      <protection/>
    </xf>
    <xf numFmtId="0" fontId="4" fillId="0" borderId="16" xfId="65" applyBorder="1" applyAlignment="1">
      <alignment horizontal="center" vertical="center" wrapText="1"/>
      <protection/>
    </xf>
    <xf numFmtId="0" fontId="11" fillId="0" borderId="0" xfId="65" applyFont="1">
      <alignment/>
      <protection/>
    </xf>
    <xf numFmtId="0" fontId="11" fillId="0" borderId="14" xfId="65" applyFont="1" applyBorder="1" applyAlignment="1">
      <alignment horizontal="centerContinuous" vertical="center" wrapText="1"/>
      <protection/>
    </xf>
    <xf numFmtId="0" fontId="11" fillId="0" borderId="16" xfId="65" applyFont="1" applyBorder="1" applyAlignment="1">
      <alignment horizontal="centerContinuous" vertical="center" wrapText="1"/>
      <protection/>
    </xf>
    <xf numFmtId="0" fontId="11" fillId="0" borderId="15" xfId="65" applyFont="1" applyBorder="1" applyAlignment="1">
      <alignment horizontal="centerContinuous" vertical="center" wrapText="1"/>
      <protection/>
    </xf>
    <xf numFmtId="0" fontId="11" fillId="0" borderId="16" xfId="65" applyFont="1" applyBorder="1" applyAlignment="1" quotePrefix="1">
      <alignment horizontal="center" vertical="center" wrapText="1"/>
      <protection/>
    </xf>
    <xf numFmtId="0" fontId="4" fillId="0" borderId="14" xfId="65" applyBorder="1" applyAlignment="1">
      <alignment horizontal="center"/>
      <protection/>
    </xf>
    <xf numFmtId="0" fontId="19" fillId="0" borderId="16" xfId="65" applyFont="1" applyBorder="1">
      <alignment/>
      <protection/>
    </xf>
    <xf numFmtId="0" fontId="4" fillId="0" borderId="15" xfId="65" applyBorder="1">
      <alignment/>
      <protection/>
    </xf>
    <xf numFmtId="0" fontId="4" fillId="33" borderId="16" xfId="65" applyFill="1" applyBorder="1">
      <alignment/>
      <protection/>
    </xf>
    <xf numFmtId="0" fontId="4" fillId="0" borderId="16" xfId="65" applyBorder="1" applyAlignment="1">
      <alignment horizontal="left"/>
      <protection/>
    </xf>
    <xf numFmtId="0" fontId="4" fillId="0" borderId="16" xfId="65" applyBorder="1" applyAlignment="1">
      <alignment horizontal="center"/>
      <protection/>
    </xf>
    <xf numFmtId="38" fontId="4" fillId="0" borderId="16" xfId="65" applyNumberFormat="1" applyBorder="1" applyProtection="1">
      <alignment/>
      <protection locked="0"/>
    </xf>
    <xf numFmtId="0" fontId="4" fillId="0" borderId="16" xfId="65" applyBorder="1">
      <alignment/>
      <protection/>
    </xf>
    <xf numFmtId="0" fontId="4" fillId="0" borderId="14" xfId="65" applyBorder="1" applyAlignment="1">
      <alignment horizontal="center" vertical="top"/>
      <protection/>
    </xf>
    <xf numFmtId="0" fontId="4" fillId="0" borderId="15" xfId="65" applyBorder="1" applyAlignment="1">
      <alignment wrapText="1"/>
      <protection/>
    </xf>
    <xf numFmtId="0" fontId="4" fillId="0" borderId="16" xfId="65" applyBorder="1" applyAlignment="1">
      <alignment horizontal="center" vertical="top"/>
      <protection/>
    </xf>
    <xf numFmtId="38" fontId="4" fillId="0" borderId="16" xfId="65" applyNumberFormat="1" applyBorder="1" applyAlignment="1" applyProtection="1">
      <alignment vertical="top"/>
      <protection locked="0"/>
    </xf>
    <xf numFmtId="0" fontId="4" fillId="0" borderId="15" xfId="65" applyBorder="1" applyAlignment="1">
      <alignment horizontal="center"/>
      <protection/>
    </xf>
    <xf numFmtId="0" fontId="4" fillId="0" borderId="18" xfId="65" applyBorder="1" applyAlignment="1">
      <alignment horizontal="center"/>
      <protection/>
    </xf>
    <xf numFmtId="0" fontId="4" fillId="0" borderId="19" xfId="65" applyBorder="1" applyAlignment="1">
      <alignment/>
      <protection/>
    </xf>
    <xf numFmtId="0" fontId="4" fillId="0" borderId="0" xfId="65" applyBorder="1" applyAlignment="1">
      <alignment/>
      <protection/>
    </xf>
    <xf numFmtId="0" fontId="4" fillId="0" borderId="16" xfId="65" applyBorder="1" applyAlignment="1">
      <alignment/>
      <protection/>
    </xf>
    <xf numFmtId="0" fontId="4" fillId="0" borderId="15" xfId="65" applyBorder="1" applyAlignment="1">
      <alignment/>
      <protection/>
    </xf>
    <xf numFmtId="0" fontId="4" fillId="0" borderId="15" xfId="65" applyBorder="1" applyAlignment="1" quotePrefix="1">
      <alignment horizontal="left"/>
      <protection/>
    </xf>
    <xf numFmtId="0" fontId="4" fillId="0" borderId="18" xfId="65" applyBorder="1" applyAlignment="1">
      <alignment horizontal="center" vertical="top"/>
      <protection/>
    </xf>
    <xf numFmtId="0" fontId="4" fillId="0" borderId="0" xfId="65" applyBorder="1" applyAlignment="1">
      <alignment horizontal="centerContinuous" wrapText="1"/>
      <protection/>
    </xf>
    <xf numFmtId="0" fontId="4" fillId="0" borderId="0" xfId="65" applyBorder="1" applyAlignment="1">
      <alignment horizontal="centerContinuous"/>
      <protection/>
    </xf>
    <xf numFmtId="0" fontId="8" fillId="0" borderId="0" xfId="65" applyFont="1">
      <alignment/>
      <protection/>
    </xf>
    <xf numFmtId="0" fontId="8" fillId="0" borderId="14" xfId="65" applyFont="1" applyBorder="1" applyAlignment="1">
      <alignment horizontal="center" vertical="top"/>
      <protection/>
    </xf>
    <xf numFmtId="0" fontId="8" fillId="0" borderId="16" xfId="65" applyFont="1" applyBorder="1" applyAlignment="1">
      <alignment/>
      <protection/>
    </xf>
    <xf numFmtId="0" fontId="8" fillId="0" borderId="15" xfId="65" applyFont="1" applyBorder="1" applyAlignment="1">
      <alignment horizontal="centerContinuous" wrapText="1"/>
      <protection/>
    </xf>
    <xf numFmtId="0" fontId="8" fillId="0" borderId="15" xfId="65" applyFont="1" applyBorder="1" applyAlignment="1">
      <alignment horizontal="centerContinuous"/>
      <protection/>
    </xf>
    <xf numFmtId="0" fontId="4" fillId="0" borderId="19" xfId="65" applyBorder="1">
      <alignment/>
      <protection/>
    </xf>
    <xf numFmtId="0" fontId="4" fillId="0" borderId="0" xfId="65" applyBorder="1" applyAlignment="1">
      <alignment horizontal="center"/>
      <protection/>
    </xf>
    <xf numFmtId="38" fontId="4" fillId="0" borderId="19" xfId="65" applyNumberFormat="1" applyBorder="1">
      <alignment/>
      <protection/>
    </xf>
    <xf numFmtId="0" fontId="8" fillId="0" borderId="22" xfId="65" applyFont="1" applyBorder="1" applyAlignment="1">
      <alignment horizontal="center"/>
      <protection/>
    </xf>
    <xf numFmtId="0" fontId="8" fillId="0" borderId="30" xfId="65" applyFont="1" applyBorder="1">
      <alignment/>
      <protection/>
    </xf>
    <xf numFmtId="0" fontId="8" fillId="0" borderId="23" xfId="65" applyFont="1" applyBorder="1">
      <alignment/>
      <protection/>
    </xf>
    <xf numFmtId="0" fontId="8" fillId="0" borderId="23" xfId="65" applyFont="1" applyBorder="1" applyAlignment="1">
      <alignment horizontal="center"/>
      <protection/>
    </xf>
    <xf numFmtId="38" fontId="8" fillId="0" borderId="30" xfId="65" applyNumberFormat="1" applyFont="1" applyBorder="1">
      <alignment/>
      <protection/>
    </xf>
    <xf numFmtId="0" fontId="4" fillId="0" borderId="0" xfId="65" applyFont="1">
      <alignment/>
      <protection/>
    </xf>
    <xf numFmtId="0" fontId="4" fillId="0" borderId="12" xfId="65" applyFont="1" applyBorder="1" applyAlignment="1" quotePrefix="1">
      <alignment horizontal="center" vertical="center" wrapText="1"/>
      <protection/>
    </xf>
    <xf numFmtId="0" fontId="16" fillId="0" borderId="16" xfId="65" applyFont="1" applyBorder="1" applyAlignment="1">
      <alignment horizontal="center" vertical="center"/>
      <protection/>
    </xf>
    <xf numFmtId="0" fontId="8" fillId="0" borderId="14" xfId="65" applyFont="1" applyBorder="1" applyAlignment="1">
      <alignment horizontal="center"/>
      <protection/>
    </xf>
    <xf numFmtId="0" fontId="8" fillId="0" borderId="16" xfId="65" applyFont="1" applyBorder="1">
      <alignment/>
      <protection/>
    </xf>
    <xf numFmtId="0" fontId="8" fillId="0" borderId="15" xfId="65" applyFont="1" applyBorder="1">
      <alignment/>
      <protection/>
    </xf>
    <xf numFmtId="0" fontId="8" fillId="0" borderId="15" xfId="65" applyFont="1" applyBorder="1" applyAlignment="1">
      <alignment horizontal="center"/>
      <protection/>
    </xf>
    <xf numFmtId="38" fontId="8" fillId="0" borderId="16" xfId="65" applyNumberFormat="1" applyFont="1" applyBorder="1">
      <alignment/>
      <protection/>
    </xf>
    <xf numFmtId="0" fontId="4" fillId="33" borderId="16" xfId="65" applyFill="1" applyBorder="1" applyAlignment="1">
      <alignment horizontal="center"/>
      <protection/>
    </xf>
    <xf numFmtId="38" fontId="4" fillId="33" borderId="16" xfId="65" applyNumberFormat="1" applyFill="1" applyBorder="1">
      <alignment/>
      <protection/>
    </xf>
    <xf numFmtId="0" fontId="19" fillId="0" borderId="19" xfId="65" applyFont="1" applyBorder="1">
      <alignment/>
      <protection/>
    </xf>
    <xf numFmtId="0" fontId="4" fillId="33" borderId="19" xfId="65" applyFill="1" applyBorder="1" applyAlignment="1">
      <alignment horizontal="center"/>
      <protection/>
    </xf>
    <xf numFmtId="0" fontId="8" fillId="0" borderId="22" xfId="65" applyFont="1" applyBorder="1">
      <alignment/>
      <protection/>
    </xf>
    <xf numFmtId="0" fontId="8" fillId="33" borderId="30" xfId="65" applyFont="1" applyFill="1" applyBorder="1" applyAlignment="1">
      <alignment horizontal="center"/>
      <protection/>
    </xf>
    <xf numFmtId="0" fontId="4" fillId="0" borderId="0" xfId="66">
      <alignment/>
      <protection/>
    </xf>
    <xf numFmtId="0" fontId="4" fillId="0" borderId="0" xfId="66" applyAlignment="1">
      <alignment horizontal="right"/>
      <protection/>
    </xf>
    <xf numFmtId="0" fontId="4" fillId="0" borderId="0" xfId="66" applyBorder="1" applyAlignment="1">
      <alignment horizontal="left"/>
      <protection/>
    </xf>
    <xf numFmtId="0" fontId="4" fillId="0" borderId="0" xfId="66" applyAlignment="1">
      <alignment horizontal="centerContinuous"/>
      <protection/>
    </xf>
    <xf numFmtId="0" fontId="0" fillId="0" borderId="0" xfId="66" applyFont="1" applyAlignment="1">
      <alignment horizontal="right" vertical="top"/>
      <protection/>
    </xf>
    <xf numFmtId="0" fontId="4" fillId="0" borderId="35" xfId="66" applyBorder="1" applyAlignment="1">
      <alignment horizontal="center" vertical="center" wrapText="1"/>
      <protection/>
    </xf>
    <xf numFmtId="0" fontId="4" fillId="0" borderId="34" xfId="66" applyBorder="1" applyAlignment="1">
      <alignment horizontal="centerContinuous" vertical="center" wrapText="1"/>
      <protection/>
    </xf>
    <xf numFmtId="0" fontId="4" fillId="0" borderId="14" xfId="66" applyBorder="1" applyAlignment="1">
      <alignment horizontal="center"/>
      <protection/>
    </xf>
    <xf numFmtId="0" fontId="4" fillId="0" borderId="16" xfId="66" applyBorder="1">
      <alignment/>
      <protection/>
    </xf>
    <xf numFmtId="0" fontId="4" fillId="0" borderId="15" xfId="66" applyBorder="1">
      <alignment/>
      <protection/>
    </xf>
    <xf numFmtId="0" fontId="4" fillId="0" borderId="19" xfId="66" applyBorder="1">
      <alignment/>
      <protection/>
    </xf>
    <xf numFmtId="0" fontId="4" fillId="0" borderId="0" xfId="66" applyBorder="1">
      <alignment/>
      <protection/>
    </xf>
    <xf numFmtId="0" fontId="4" fillId="0" borderId="23" xfId="66" applyBorder="1">
      <alignment/>
      <protection/>
    </xf>
    <xf numFmtId="0" fontId="4" fillId="0" borderId="0" xfId="67">
      <alignment/>
      <protection/>
    </xf>
    <xf numFmtId="0" fontId="4" fillId="0" borderId="0" xfId="67" applyAlignment="1">
      <alignment horizontal="right"/>
      <protection/>
    </xf>
    <xf numFmtId="0" fontId="4" fillId="0" borderId="15" xfId="67" applyBorder="1" applyAlignment="1">
      <alignment horizontal="left"/>
      <protection/>
    </xf>
    <xf numFmtId="0" fontId="6" fillId="0" borderId="0" xfId="67" applyFont="1" applyAlignment="1">
      <alignment horizontal="centerContinuous"/>
      <protection/>
    </xf>
    <xf numFmtId="0" fontId="4" fillId="0" borderId="0" xfId="67" applyAlignment="1">
      <alignment horizontal="centerContinuous"/>
      <protection/>
    </xf>
    <xf numFmtId="0" fontId="0" fillId="0" borderId="0" xfId="67" applyFont="1">
      <alignment/>
      <protection/>
    </xf>
    <xf numFmtId="0" fontId="4" fillId="0" borderId="35" xfId="67" applyBorder="1" applyAlignment="1">
      <alignment horizontal="center"/>
      <protection/>
    </xf>
    <xf numFmtId="0" fontId="4" fillId="33" borderId="33" xfId="67" applyFill="1" applyBorder="1">
      <alignment/>
      <protection/>
    </xf>
    <xf numFmtId="0" fontId="4" fillId="33" borderId="36" xfId="67" applyFill="1" applyBorder="1">
      <alignment/>
      <protection/>
    </xf>
    <xf numFmtId="0" fontId="4" fillId="0" borderId="14" xfId="67" applyBorder="1" applyProtection="1">
      <alignment/>
      <protection locked="0"/>
    </xf>
    <xf numFmtId="0" fontId="4" fillId="0" borderId="16" xfId="67" applyBorder="1" applyProtection="1">
      <alignment/>
      <protection locked="0"/>
    </xf>
    <xf numFmtId="0" fontId="4" fillId="0" borderId="17" xfId="67" applyBorder="1" applyProtection="1">
      <alignment/>
      <protection locked="0"/>
    </xf>
    <xf numFmtId="0" fontId="4" fillId="0" borderId="22" xfId="67" applyBorder="1" applyProtection="1">
      <alignment/>
      <protection locked="0"/>
    </xf>
    <xf numFmtId="0" fontId="4" fillId="0" borderId="30" xfId="67" applyBorder="1" applyProtection="1">
      <alignment/>
      <protection locked="0"/>
    </xf>
    <xf numFmtId="0" fontId="4" fillId="0" borderId="25" xfId="67" applyBorder="1" applyProtection="1">
      <alignment/>
      <protection locked="0"/>
    </xf>
    <xf numFmtId="0" fontId="4" fillId="0" borderId="0" xfId="68">
      <alignment/>
      <protection/>
    </xf>
    <xf numFmtId="0" fontId="4" fillId="0" borderId="0" xfId="68" applyAlignment="1">
      <alignment horizontal="right"/>
      <protection/>
    </xf>
    <xf numFmtId="0" fontId="4" fillId="0" borderId="15" xfId="68" applyBorder="1" applyAlignment="1">
      <alignment horizontal="left"/>
      <protection/>
    </xf>
    <xf numFmtId="0" fontId="4" fillId="0" borderId="0" xfId="68" applyBorder="1">
      <alignment/>
      <protection/>
    </xf>
    <xf numFmtId="0" fontId="4" fillId="0" borderId="0" xfId="68" applyProtection="1">
      <alignment/>
      <protection/>
    </xf>
    <xf numFmtId="0" fontId="4" fillId="0" borderId="0" xfId="68" applyBorder="1" applyAlignment="1">
      <alignment horizontal="left"/>
      <protection/>
    </xf>
    <xf numFmtId="0" fontId="6" fillId="0" borderId="0" xfId="68" applyFont="1" applyAlignment="1">
      <alignment horizontal="centerContinuous"/>
      <protection/>
    </xf>
    <xf numFmtId="0" fontId="4" fillId="0" borderId="0" xfId="68" applyAlignment="1">
      <alignment horizontal="centerContinuous"/>
      <protection/>
    </xf>
    <xf numFmtId="0" fontId="17" fillId="0" borderId="0" xfId="68" applyFont="1" applyAlignment="1">
      <alignment horizontal="centerContinuous"/>
      <protection/>
    </xf>
    <xf numFmtId="0" fontId="4" fillId="0" borderId="10" xfId="68" applyBorder="1" applyAlignment="1">
      <alignment horizontal="center" wrapText="1"/>
      <protection/>
    </xf>
    <xf numFmtId="0" fontId="4" fillId="0" borderId="12" xfId="68" applyFont="1" applyBorder="1" applyAlignment="1">
      <alignment vertical="center" wrapText="1"/>
      <protection/>
    </xf>
    <xf numFmtId="0" fontId="4" fillId="0" borderId="11" xfId="68" applyFont="1" applyBorder="1" applyAlignment="1">
      <alignment horizontal="centerContinuous" vertical="center" wrapText="1"/>
      <protection/>
    </xf>
    <xf numFmtId="0" fontId="4" fillId="0" borderId="12" xfId="68" applyFont="1" applyBorder="1" applyAlignment="1">
      <alignment horizontal="center" wrapText="1"/>
      <protection/>
    </xf>
    <xf numFmtId="0" fontId="4" fillId="0" borderId="33" xfId="68" applyFont="1" applyBorder="1" applyAlignment="1">
      <alignment horizontal="centerContinuous" vertical="center" wrapText="1"/>
      <protection/>
    </xf>
    <xf numFmtId="0" fontId="4" fillId="0" borderId="34" xfId="68" applyFont="1" applyBorder="1" applyAlignment="1">
      <alignment horizontal="centerContinuous" vertical="center" wrapText="1"/>
      <protection/>
    </xf>
    <xf numFmtId="0" fontId="4" fillId="0" borderId="37" xfId="68" applyFont="1" applyBorder="1" applyAlignment="1">
      <alignment horizontal="center" wrapText="1"/>
      <protection/>
    </xf>
    <xf numFmtId="0" fontId="4" fillId="0" borderId="18" xfId="68" applyBorder="1" applyAlignment="1">
      <alignment horizontal="center" vertical="center" wrapText="1"/>
      <protection/>
    </xf>
    <xf numFmtId="0" fontId="4" fillId="0" borderId="19" xfId="68" applyBorder="1" applyAlignment="1">
      <alignment horizontal="centerContinuous" vertical="center" wrapText="1"/>
      <protection/>
    </xf>
    <xf numFmtId="0" fontId="4" fillId="0" borderId="0" xfId="68" applyBorder="1" applyAlignment="1">
      <alignment horizontal="centerContinuous" vertical="center" wrapText="1"/>
      <protection/>
    </xf>
    <xf numFmtId="0" fontId="4" fillId="0" borderId="16" xfId="68" applyBorder="1" applyAlignment="1">
      <alignment horizontal="center" vertical="center" wrapText="1"/>
      <protection/>
    </xf>
    <xf numFmtId="0" fontId="11" fillId="0" borderId="0" xfId="68" applyFont="1">
      <alignment/>
      <protection/>
    </xf>
    <xf numFmtId="0" fontId="11" fillId="0" borderId="14" xfId="68" applyFont="1" applyBorder="1" applyAlignment="1">
      <alignment horizontal="centerContinuous" vertical="center" wrapText="1"/>
      <protection/>
    </xf>
    <xf numFmtId="0" fontId="11" fillId="0" borderId="16" xfId="68" applyFont="1" applyBorder="1" applyAlignment="1">
      <alignment horizontal="centerContinuous" vertical="center" wrapText="1"/>
      <protection/>
    </xf>
    <xf numFmtId="0" fontId="11" fillId="0" borderId="15" xfId="68" applyFont="1" applyBorder="1" applyAlignment="1">
      <alignment horizontal="centerContinuous" vertical="center" wrapText="1"/>
      <protection/>
    </xf>
    <xf numFmtId="0" fontId="11" fillId="0" borderId="16" xfId="68" applyFont="1" applyBorder="1" applyAlignment="1" quotePrefix="1">
      <alignment horizontal="center" vertical="center" wrapText="1"/>
      <protection/>
    </xf>
    <xf numFmtId="0" fontId="11" fillId="0" borderId="0" xfId="68" applyFont="1" applyProtection="1">
      <alignment/>
      <protection/>
    </xf>
    <xf numFmtId="0" fontId="4" fillId="0" borderId="14" xfId="68" applyBorder="1" applyAlignment="1">
      <alignment horizontal="center"/>
      <protection/>
    </xf>
    <xf numFmtId="0" fontId="19" fillId="0" borderId="16" xfId="68" applyFont="1" applyBorder="1" applyAlignment="1">
      <alignment/>
      <protection/>
    </xf>
    <xf numFmtId="0" fontId="4" fillId="0" borderId="15" xfId="68" applyBorder="1" applyAlignment="1">
      <alignment/>
      <protection/>
    </xf>
    <xf numFmtId="0" fontId="4" fillId="33" borderId="16" xfId="68" applyFill="1" applyBorder="1" applyAlignment="1">
      <alignment/>
      <protection/>
    </xf>
    <xf numFmtId="0" fontId="4" fillId="0" borderId="16" xfId="68" applyBorder="1" applyAlignment="1">
      <alignment horizontal="left"/>
      <protection/>
    </xf>
    <xf numFmtId="0" fontId="4" fillId="0" borderId="16" xfId="68" applyBorder="1" applyAlignment="1">
      <alignment horizontal="center"/>
      <protection/>
    </xf>
    <xf numFmtId="38" fontId="4" fillId="0" borderId="16" xfId="68" applyNumberFormat="1" applyBorder="1" applyAlignment="1" applyProtection="1">
      <alignment/>
      <protection locked="0"/>
    </xf>
    <xf numFmtId="38" fontId="4" fillId="0" borderId="0" xfId="68" applyNumberFormat="1" applyProtection="1">
      <alignment/>
      <protection/>
    </xf>
    <xf numFmtId="0" fontId="4" fillId="0" borderId="16" xfId="68" applyBorder="1" applyAlignment="1">
      <alignment/>
      <protection/>
    </xf>
    <xf numFmtId="0" fontId="4" fillId="0" borderId="15" xfId="68" applyBorder="1" applyAlignment="1" quotePrefix="1">
      <alignment horizontal="left" wrapText="1"/>
      <protection/>
    </xf>
    <xf numFmtId="38" fontId="4" fillId="0" borderId="16" xfId="68" applyNumberFormat="1" applyBorder="1" applyAlignment="1">
      <alignment/>
      <protection/>
    </xf>
    <xf numFmtId="38" fontId="4" fillId="33" borderId="16" xfId="68" applyNumberFormat="1" applyFill="1" applyBorder="1" applyAlignment="1">
      <alignment/>
      <protection/>
    </xf>
    <xf numFmtId="0" fontId="4" fillId="0" borderId="38" xfId="68" applyBorder="1" applyAlignment="1">
      <alignment/>
      <protection/>
    </xf>
    <xf numFmtId="0" fontId="4" fillId="0" borderId="16" xfId="68" applyFont="1" applyBorder="1" applyAlignment="1">
      <alignment/>
      <protection/>
    </xf>
    <xf numFmtId="0" fontId="4" fillId="0" borderId="38" xfId="68" applyBorder="1" applyAlignment="1">
      <alignment horizontal="centerContinuous" wrapText="1"/>
      <protection/>
    </xf>
    <xf numFmtId="0" fontId="4" fillId="0" borderId="38" xfId="68" applyBorder="1" applyAlignment="1">
      <alignment wrapText="1"/>
      <protection/>
    </xf>
    <xf numFmtId="0" fontId="4" fillId="0" borderId="38" xfId="68" applyBorder="1" applyAlignment="1" quotePrefix="1">
      <alignment horizontal="left" wrapText="1"/>
      <protection/>
    </xf>
    <xf numFmtId="38" fontId="4" fillId="0" borderId="16" xfId="68" applyNumberFormat="1" applyBorder="1" applyAlignment="1" applyProtection="1">
      <alignment vertical="top"/>
      <protection locked="0"/>
    </xf>
    <xf numFmtId="0" fontId="4" fillId="0" borderId="16" xfId="68" applyBorder="1" applyAlignment="1" quotePrefix="1">
      <alignment horizontal="left"/>
      <protection/>
    </xf>
    <xf numFmtId="38" fontId="4" fillId="0" borderId="19" xfId="68" applyNumberFormat="1" applyBorder="1" applyAlignment="1">
      <alignment/>
      <protection/>
    </xf>
    <xf numFmtId="38" fontId="4" fillId="0" borderId="0" xfId="68" applyNumberFormat="1" applyBorder="1" applyAlignment="1" applyProtection="1">
      <alignment/>
      <protection/>
    </xf>
    <xf numFmtId="0" fontId="8" fillId="0" borderId="0" xfId="68" applyFont="1">
      <alignment/>
      <protection/>
    </xf>
    <xf numFmtId="0" fontId="8" fillId="0" borderId="0" xfId="68" applyFont="1" applyProtection="1">
      <alignment/>
      <protection/>
    </xf>
    <xf numFmtId="0" fontId="4" fillId="0" borderId="0" xfId="68" applyFont="1">
      <alignment/>
      <protection/>
    </xf>
    <xf numFmtId="0" fontId="4" fillId="0" borderId="0" xfId="68" applyFont="1" applyProtection="1">
      <alignment/>
      <protection/>
    </xf>
    <xf numFmtId="0" fontId="4" fillId="0" borderId="10" xfId="68" applyBorder="1" applyAlignment="1">
      <alignment horizontal="centerContinuous" wrapText="1"/>
      <protection/>
    </xf>
    <xf numFmtId="0" fontId="4" fillId="0" borderId="39" xfId="68" applyFont="1" applyBorder="1" applyAlignment="1">
      <alignment horizontal="center" wrapText="1"/>
      <protection/>
    </xf>
    <xf numFmtId="0" fontId="4" fillId="0" borderId="18" xfId="68" applyFont="1" applyFill="1" applyBorder="1" applyAlignment="1">
      <alignment horizontal="center" wrapText="1"/>
      <protection/>
    </xf>
    <xf numFmtId="0" fontId="4" fillId="0" borderId="16" xfId="68" applyBorder="1" applyAlignment="1">
      <alignment horizontal="center" wrapText="1"/>
      <protection/>
    </xf>
    <xf numFmtId="0" fontId="4" fillId="0" borderId="40" xfId="68" applyBorder="1" applyAlignment="1">
      <alignment horizontal="center"/>
      <protection/>
    </xf>
    <xf numFmtId="0" fontId="4" fillId="0" borderId="18" xfId="68" applyFill="1" applyBorder="1" applyAlignment="1">
      <alignment horizontal="center" wrapText="1"/>
      <protection/>
    </xf>
    <xf numFmtId="0" fontId="11" fillId="0" borderId="40" xfId="68" applyFont="1" applyBorder="1" applyAlignment="1" quotePrefix="1">
      <alignment horizontal="center" vertical="center" wrapText="1"/>
      <protection/>
    </xf>
    <xf numFmtId="0" fontId="11" fillId="0" borderId="18" xfId="68" applyFont="1" applyFill="1" applyBorder="1" applyAlignment="1" quotePrefix="1">
      <alignment horizontal="center" vertical="center" wrapText="1"/>
      <protection/>
    </xf>
    <xf numFmtId="0" fontId="19" fillId="0" borderId="16" xfId="68" applyFont="1" applyBorder="1">
      <alignment/>
      <protection/>
    </xf>
    <xf numFmtId="0" fontId="4" fillId="0" borderId="15" xfId="68" applyBorder="1">
      <alignment/>
      <protection/>
    </xf>
    <xf numFmtId="38" fontId="4" fillId="33" borderId="16" xfId="68" applyNumberFormat="1" applyFill="1" applyBorder="1">
      <alignment/>
      <protection/>
    </xf>
    <xf numFmtId="38" fontId="4" fillId="0" borderId="18" xfId="68" applyNumberFormat="1" applyFill="1" applyBorder="1">
      <alignment/>
      <protection/>
    </xf>
    <xf numFmtId="0" fontId="4" fillId="0" borderId="16" xfId="68" applyBorder="1">
      <alignment/>
      <protection/>
    </xf>
    <xf numFmtId="38" fontId="4" fillId="0" borderId="16" xfId="68" applyNumberFormat="1" applyBorder="1" applyProtection="1">
      <alignment/>
      <protection locked="0"/>
    </xf>
    <xf numFmtId="38" fontId="4" fillId="0" borderId="16" xfId="68" applyNumberFormat="1" applyBorder="1">
      <alignment/>
      <protection/>
    </xf>
    <xf numFmtId="37" fontId="4" fillId="0" borderId="40" xfId="68" applyNumberFormat="1" applyBorder="1" applyAlignment="1" applyProtection="1">
      <alignment horizontal="right"/>
      <protection locked="0"/>
    </xf>
    <xf numFmtId="37" fontId="4" fillId="0" borderId="18" xfId="68" applyNumberFormat="1" applyFill="1" applyBorder="1" applyAlignment="1" applyProtection="1">
      <alignment horizontal="right"/>
      <protection locked="0"/>
    </xf>
    <xf numFmtId="38" fontId="4" fillId="0" borderId="0" xfId="68" applyNumberFormat="1">
      <alignment/>
      <protection/>
    </xf>
    <xf numFmtId="0" fontId="4" fillId="0" borderId="38" xfId="68" applyBorder="1">
      <alignment/>
      <protection/>
    </xf>
    <xf numFmtId="0" fontId="4" fillId="0" borderId="16" xfId="68" applyFont="1" applyBorder="1">
      <alignment/>
      <protection/>
    </xf>
    <xf numFmtId="38" fontId="4" fillId="0" borderId="16" xfId="68" applyNumberFormat="1" applyFont="1" applyBorder="1" applyProtection="1">
      <alignment/>
      <protection locked="0"/>
    </xf>
    <xf numFmtId="37" fontId="4" fillId="0" borderId="40" xfId="68" applyNumberFormat="1" applyFont="1" applyBorder="1" applyAlignment="1" applyProtection="1">
      <alignment horizontal="right"/>
      <protection locked="0"/>
    </xf>
    <xf numFmtId="38" fontId="4" fillId="0" borderId="16" xfId="68" applyNumberFormat="1" applyFill="1" applyBorder="1" applyProtection="1">
      <alignment/>
      <protection locked="0"/>
    </xf>
    <xf numFmtId="37" fontId="4" fillId="0" borderId="40" xfId="68" applyNumberFormat="1" applyFill="1" applyBorder="1" applyAlignment="1" applyProtection="1">
      <alignment horizontal="right"/>
      <protection locked="0"/>
    </xf>
    <xf numFmtId="0" fontId="4" fillId="0" borderId="15" xfId="68" applyBorder="1" applyAlignment="1" quotePrefix="1">
      <alignment horizontal="left"/>
      <protection/>
    </xf>
    <xf numFmtId="0" fontId="4" fillId="0" borderId="16" xfId="68" applyFont="1" applyBorder="1">
      <alignment/>
      <protection/>
    </xf>
    <xf numFmtId="37" fontId="4" fillId="0" borderId="18" xfId="68" applyNumberFormat="1" applyFill="1" applyBorder="1">
      <alignment/>
      <protection/>
    </xf>
    <xf numFmtId="0" fontId="4" fillId="0" borderId="23" xfId="68" applyBorder="1">
      <alignment/>
      <protection/>
    </xf>
    <xf numFmtId="38" fontId="4" fillId="0" borderId="30" xfId="68" applyNumberFormat="1" applyBorder="1">
      <alignment/>
      <protection/>
    </xf>
    <xf numFmtId="0" fontId="4" fillId="0" borderId="0" xfId="68" applyFill="1" applyBorder="1">
      <alignment/>
      <protection/>
    </xf>
    <xf numFmtId="0" fontId="19" fillId="0" borderId="16" xfId="68" applyFont="1" applyBorder="1" applyAlignment="1" quotePrefix="1">
      <alignment horizontal="left"/>
      <protection/>
    </xf>
    <xf numFmtId="0" fontId="4" fillId="33" borderId="16" xfId="68" applyFill="1" applyBorder="1">
      <alignment/>
      <protection/>
    </xf>
    <xf numFmtId="0" fontId="4" fillId="33" borderId="40" xfId="68" applyFill="1" applyBorder="1">
      <alignment/>
      <protection/>
    </xf>
    <xf numFmtId="0" fontId="4" fillId="0" borderId="18" xfId="68" applyFill="1" applyBorder="1">
      <alignment/>
      <protection/>
    </xf>
    <xf numFmtId="37" fontId="4" fillId="0" borderId="18" xfId="68" applyNumberFormat="1" applyBorder="1" applyAlignment="1" applyProtection="1">
      <alignment horizontal="right"/>
      <protection locked="0"/>
    </xf>
    <xf numFmtId="0" fontId="4" fillId="0" borderId="0" xfId="68" applyAlignment="1">
      <alignment/>
      <protection/>
    </xf>
    <xf numFmtId="0" fontId="4" fillId="0" borderId="15" xfId="68" applyBorder="1" applyAlignment="1">
      <alignment wrapText="1"/>
      <protection/>
    </xf>
    <xf numFmtId="2" fontId="4" fillId="0" borderId="15" xfId="68" applyNumberFormat="1" applyBorder="1" applyAlignment="1" quotePrefix="1">
      <alignment horizontal="left" wrapText="1"/>
      <protection/>
    </xf>
    <xf numFmtId="0" fontId="4" fillId="0" borderId="16" xfId="68" applyFont="1" applyBorder="1" applyAlignment="1" quotePrefix="1">
      <alignment horizontal="left"/>
      <protection/>
    </xf>
    <xf numFmtId="38" fontId="4" fillId="0" borderId="18" xfId="68" applyNumberFormat="1" applyFill="1" applyBorder="1" applyAlignment="1">
      <alignment horizontal="right"/>
      <protection/>
    </xf>
    <xf numFmtId="38" fontId="4" fillId="0" borderId="0" xfId="68" applyNumberFormat="1" applyBorder="1" applyAlignment="1" applyProtection="1">
      <alignment horizontal="right"/>
      <protection/>
    </xf>
    <xf numFmtId="38" fontId="4" fillId="0" borderId="0" xfId="68" applyNumberFormat="1" applyBorder="1" applyAlignment="1">
      <alignment horizontal="right"/>
      <protection/>
    </xf>
    <xf numFmtId="0" fontId="4" fillId="0" borderId="15" xfId="68" applyFont="1" applyBorder="1">
      <alignment/>
      <protection/>
    </xf>
    <xf numFmtId="0" fontId="4" fillId="0" borderId="41" xfId="68" applyBorder="1">
      <alignment/>
      <protection/>
    </xf>
    <xf numFmtId="0" fontId="4" fillId="34" borderId="16" xfId="68" applyFill="1" applyBorder="1" applyAlignment="1">
      <alignment horizontal="center"/>
      <protection/>
    </xf>
    <xf numFmtId="0" fontId="4" fillId="34" borderId="19" xfId="68" applyFill="1" applyBorder="1" applyAlignment="1">
      <alignment horizontal="center"/>
      <protection/>
    </xf>
    <xf numFmtId="38" fontId="4" fillId="0" borderId="19" xfId="68" applyNumberFormat="1" applyBorder="1" applyAlignment="1" applyProtection="1">
      <alignment/>
      <protection locked="0"/>
    </xf>
    <xf numFmtId="0" fontId="8" fillId="0" borderId="30" xfId="68" applyFont="1" applyBorder="1" applyAlignment="1" quotePrefix="1">
      <alignment horizontal="left"/>
      <protection/>
    </xf>
    <xf numFmtId="0" fontId="8" fillId="0" borderId="23" xfId="68" applyFont="1" applyBorder="1">
      <alignment/>
      <protection/>
    </xf>
    <xf numFmtId="0" fontId="4" fillId="0" borderId="30" xfId="68" applyFont="1" applyBorder="1" applyAlignment="1" quotePrefix="1">
      <alignment horizontal="left"/>
      <protection/>
    </xf>
    <xf numFmtId="0" fontId="4" fillId="34" borderId="30" xfId="68" applyFill="1" applyBorder="1" applyAlignment="1">
      <alignment horizontal="center"/>
      <protection/>
    </xf>
    <xf numFmtId="38" fontId="4" fillId="0" borderId="0" xfId="68" applyNumberFormat="1" applyBorder="1" applyProtection="1">
      <alignment/>
      <protection/>
    </xf>
    <xf numFmtId="0" fontId="19" fillId="0" borderId="16" xfId="68" applyFont="1" applyBorder="1" applyAlignment="1">
      <alignment horizontal="left"/>
      <protection/>
    </xf>
    <xf numFmtId="0" fontId="4" fillId="0" borderId="18" xfId="68" applyFill="1" applyBorder="1" applyAlignment="1">
      <alignment horizontal="right"/>
      <protection/>
    </xf>
    <xf numFmtId="1" fontId="4" fillId="0" borderId="16" xfId="68" applyNumberFormat="1" applyFill="1" applyBorder="1" applyAlignment="1">
      <alignment horizontal="center"/>
      <protection/>
    </xf>
    <xf numFmtId="38" fontId="4" fillId="0" borderId="41" xfId="68" applyNumberFormat="1" applyBorder="1" applyAlignment="1">
      <alignment/>
      <protection/>
    </xf>
    <xf numFmtId="38" fontId="4" fillId="0" borderId="40" xfId="68" applyNumberFormat="1" applyBorder="1" applyAlignment="1" applyProtection="1">
      <alignment horizontal="right"/>
      <protection locked="0"/>
    </xf>
    <xf numFmtId="2" fontId="4" fillId="0" borderId="15" xfId="68" applyNumberFormat="1" applyBorder="1" applyAlignment="1">
      <alignment horizontal="left" wrapText="1"/>
      <protection/>
    </xf>
    <xf numFmtId="0" fontId="4" fillId="33" borderId="30" xfId="68" applyFill="1" applyBorder="1" applyAlignment="1">
      <alignment horizontal="center"/>
      <protection/>
    </xf>
    <xf numFmtId="38" fontId="4" fillId="0" borderId="30" xfId="68" applyNumberFormat="1" applyBorder="1" applyAlignment="1">
      <alignment/>
      <protection/>
    </xf>
    <xf numFmtId="38" fontId="4" fillId="0" borderId="30" xfId="68" applyNumberFormat="1" applyBorder="1" applyAlignment="1" applyProtection="1">
      <alignment/>
      <protection locked="0"/>
    </xf>
    <xf numFmtId="38" fontId="4" fillId="0" borderId="0" xfId="68" applyNumberFormat="1" applyBorder="1" applyAlignment="1">
      <alignment/>
      <protection/>
    </xf>
    <xf numFmtId="0" fontId="8" fillId="0" borderId="23" xfId="68" applyFont="1" applyBorder="1" applyAlignment="1" quotePrefix="1">
      <alignment horizontal="left"/>
      <protection/>
    </xf>
    <xf numFmtId="0" fontId="19" fillId="0" borderId="16" xfId="68" applyFont="1" applyBorder="1" applyAlignment="1">
      <alignment horizontal="left"/>
      <protection/>
    </xf>
    <xf numFmtId="0" fontId="4" fillId="0" borderId="16" xfId="68" applyFont="1" applyBorder="1" applyAlignment="1">
      <alignment horizontal="left"/>
      <protection/>
    </xf>
    <xf numFmtId="2" fontId="4" fillId="0" borderId="16" xfId="68" applyNumberFormat="1" applyFill="1" applyBorder="1" applyAlignment="1">
      <alignment horizontal="center"/>
      <protection/>
    </xf>
    <xf numFmtId="38" fontId="4" fillId="34" borderId="40" xfId="68" applyNumberFormat="1" applyFill="1" applyBorder="1" applyAlignment="1" applyProtection="1">
      <alignment horizontal="right"/>
      <protection/>
    </xf>
    <xf numFmtId="38" fontId="4" fillId="0" borderId="18" xfId="68" applyNumberFormat="1" applyFont="1" applyFill="1" applyBorder="1" applyAlignment="1">
      <alignment horizontal="right"/>
      <protection/>
    </xf>
    <xf numFmtId="0" fontId="4" fillId="0" borderId="0" xfId="68" applyBorder="1" applyAlignment="1" quotePrefix="1">
      <alignment horizontal="left"/>
      <protection/>
    </xf>
    <xf numFmtId="0" fontId="4" fillId="0" borderId="15" xfId="68" applyFont="1" applyBorder="1" applyAlignment="1" quotePrefix="1">
      <alignment horizontal="left"/>
      <protection/>
    </xf>
    <xf numFmtId="38" fontId="8" fillId="0" borderId="16" xfId="68" applyNumberFormat="1" applyFont="1" applyBorder="1" applyAlignment="1">
      <alignment/>
      <protection/>
    </xf>
    <xf numFmtId="38" fontId="8" fillId="0" borderId="18" xfId="68" applyNumberFormat="1" applyFont="1" applyFill="1" applyBorder="1" applyAlignment="1">
      <alignment horizontal="right"/>
      <protection/>
    </xf>
    <xf numFmtId="0" fontId="4" fillId="0" borderId="15" xfId="68" applyFont="1" applyBorder="1">
      <alignment/>
      <protection/>
    </xf>
    <xf numFmtId="38" fontId="4" fillId="0" borderId="16" xfId="68" applyNumberFormat="1" applyFont="1" applyBorder="1" applyAlignment="1" applyProtection="1">
      <alignment/>
      <protection locked="0"/>
    </xf>
    <xf numFmtId="0" fontId="19" fillId="0" borderId="16" xfId="68" applyFont="1" applyBorder="1">
      <alignment/>
      <protection/>
    </xf>
    <xf numFmtId="0" fontId="4" fillId="0" borderId="24" xfId="68" applyBorder="1">
      <alignment/>
      <protection/>
    </xf>
    <xf numFmtId="0" fontId="14" fillId="0" borderId="0" xfId="68" applyFont="1">
      <alignment/>
      <protection/>
    </xf>
    <xf numFmtId="0" fontId="14" fillId="0" borderId="0" xfId="68" applyFont="1" applyAlignment="1" quotePrefix="1">
      <alignment horizontal="left"/>
      <protection/>
    </xf>
    <xf numFmtId="38" fontId="4" fillId="33" borderId="40" xfId="68" applyNumberFormat="1" applyFill="1" applyBorder="1" applyProtection="1">
      <alignment/>
      <protection/>
    </xf>
    <xf numFmtId="0" fontId="4" fillId="0" borderId="27" xfId="68" applyBorder="1">
      <alignment/>
      <protection/>
    </xf>
    <xf numFmtId="0" fontId="4" fillId="0" borderId="27" xfId="68" applyBorder="1" applyAlignment="1">
      <alignment horizontal="left"/>
      <protection/>
    </xf>
    <xf numFmtId="38" fontId="4" fillId="0" borderId="42" xfId="68" applyNumberFormat="1" applyBorder="1" applyAlignment="1" applyProtection="1">
      <alignment/>
      <protection locked="0"/>
    </xf>
    <xf numFmtId="38" fontId="4" fillId="0" borderId="42" xfId="68" applyNumberFormat="1" applyBorder="1" applyAlignment="1">
      <alignment/>
      <protection/>
    </xf>
    <xf numFmtId="0" fontId="4" fillId="0" borderId="43" xfId="68" applyBorder="1" applyAlignment="1" quotePrefix="1">
      <alignment horizontal="left"/>
      <protection/>
    </xf>
    <xf numFmtId="0" fontId="4" fillId="0" borderId="42" xfId="68" applyBorder="1">
      <alignment/>
      <protection/>
    </xf>
    <xf numFmtId="2" fontId="4" fillId="0" borderId="15" xfId="68" applyNumberFormat="1" applyBorder="1" applyAlignment="1" quotePrefix="1">
      <alignment horizontal="left"/>
      <protection/>
    </xf>
    <xf numFmtId="38" fontId="4" fillId="0" borderId="40" xfId="68" applyNumberFormat="1" applyBorder="1" applyAlignment="1">
      <alignment/>
      <protection/>
    </xf>
    <xf numFmtId="0" fontId="4" fillId="0" borderId="19" xfId="68" applyBorder="1" applyAlignment="1" quotePrefix="1">
      <alignment horizontal="left"/>
      <protection/>
    </xf>
    <xf numFmtId="0" fontId="8" fillId="0" borderId="16" xfId="68" applyFont="1" applyBorder="1">
      <alignment/>
      <protection/>
    </xf>
    <xf numFmtId="0" fontId="8" fillId="0" borderId="15" xfId="68" applyFont="1" applyBorder="1" applyAlignment="1" quotePrefix="1">
      <alignment horizontal="left"/>
      <protection/>
    </xf>
    <xf numFmtId="2" fontId="4" fillId="0" borderId="15" xfId="68" applyNumberFormat="1" applyBorder="1" applyAlignment="1">
      <alignment horizontal="left"/>
      <protection/>
    </xf>
    <xf numFmtId="38" fontId="4" fillId="0" borderId="18" xfId="68" applyNumberFormat="1" applyFill="1" applyBorder="1" applyAlignment="1">
      <alignment/>
      <protection/>
    </xf>
    <xf numFmtId="0" fontId="4" fillId="0" borderId="44" xfId="68" applyBorder="1" applyAlignment="1" quotePrefix="1">
      <alignment horizontal="left"/>
      <protection/>
    </xf>
    <xf numFmtId="0" fontId="4" fillId="0" borderId="45" xfId="68" applyBorder="1">
      <alignment/>
      <protection/>
    </xf>
    <xf numFmtId="38" fontId="4" fillId="0" borderId="44" xfId="68" applyNumberFormat="1" applyBorder="1" applyAlignment="1" applyProtection="1">
      <alignment/>
      <protection locked="0"/>
    </xf>
    <xf numFmtId="38" fontId="4" fillId="0" borderId="46" xfId="68" applyNumberFormat="1" applyBorder="1" applyAlignment="1">
      <alignment/>
      <protection/>
    </xf>
    <xf numFmtId="38" fontId="4" fillId="0" borderId="41" xfId="68" applyNumberFormat="1" applyBorder="1">
      <alignment/>
      <protection/>
    </xf>
    <xf numFmtId="38" fontId="4" fillId="0" borderId="47" xfId="68" applyNumberFormat="1" applyBorder="1">
      <alignment/>
      <protection/>
    </xf>
    <xf numFmtId="38" fontId="4" fillId="0" borderId="48" xfId="68" applyNumberFormat="1" applyBorder="1" applyAlignment="1">
      <alignment/>
      <protection/>
    </xf>
    <xf numFmtId="0" fontId="4" fillId="0" borderId="18" xfId="68" applyFill="1" applyBorder="1" applyAlignment="1">
      <alignment horizontal="center"/>
      <protection/>
    </xf>
    <xf numFmtId="0" fontId="8" fillId="0" borderId="0" xfId="68" applyFont="1" applyBorder="1" applyAlignment="1">
      <alignment horizontal="center"/>
      <protection/>
    </xf>
    <xf numFmtId="0" fontId="8" fillId="0" borderId="0" xfId="68" applyFont="1" applyBorder="1">
      <alignment/>
      <protection/>
    </xf>
    <xf numFmtId="0" fontId="8" fillId="0" borderId="0" xfId="68" applyFont="1" applyBorder="1" applyAlignment="1" quotePrefix="1">
      <alignment horizontal="left"/>
      <protection/>
    </xf>
    <xf numFmtId="0" fontId="8" fillId="0" borderId="0" xfId="68" applyFont="1" applyFill="1" applyBorder="1">
      <alignment/>
      <protection/>
    </xf>
    <xf numFmtId="38" fontId="8" fillId="0" borderId="0" xfId="68" applyNumberFormat="1" applyFont="1" applyBorder="1">
      <alignment/>
      <protection/>
    </xf>
    <xf numFmtId="38" fontId="4" fillId="0" borderId="0" xfId="68" applyNumberFormat="1" applyBorder="1">
      <alignment/>
      <protection/>
    </xf>
    <xf numFmtId="0" fontId="21" fillId="0" borderId="15" xfId="68" applyFont="1" applyBorder="1" applyAlignment="1" applyProtection="1">
      <alignment horizontal="center"/>
      <protection locked="0"/>
    </xf>
    <xf numFmtId="0" fontId="4" fillId="0" borderId="15" xfId="68" applyBorder="1" applyProtection="1">
      <alignment/>
      <protection locked="0"/>
    </xf>
    <xf numFmtId="0" fontId="4" fillId="0" borderId="27" xfId="68" applyBorder="1" applyProtection="1">
      <alignment/>
      <protection locked="0"/>
    </xf>
    <xf numFmtId="0" fontId="4" fillId="0" borderId="0" xfId="68" applyBorder="1" applyProtection="1">
      <alignment/>
      <protection locked="0"/>
    </xf>
    <xf numFmtId="0" fontId="4" fillId="0" borderId="18" xfId="68" applyFill="1" applyBorder="1" applyAlignment="1">
      <alignment/>
      <protection/>
    </xf>
    <xf numFmtId="0" fontId="19" fillId="0" borderId="16" xfId="68" applyFont="1" applyBorder="1" applyAlignment="1">
      <alignment horizontal="left" vertical="center"/>
      <protection/>
    </xf>
    <xf numFmtId="0" fontId="19" fillId="0" borderId="16" xfId="68" applyFont="1" applyBorder="1" applyAlignment="1" quotePrefix="1">
      <alignment horizontal="left" vertical="center"/>
      <protection/>
    </xf>
    <xf numFmtId="0" fontId="19" fillId="0" borderId="16" xfId="68" applyFont="1" applyBorder="1" applyAlignment="1">
      <alignment horizontal="left" vertical="center"/>
      <protection/>
    </xf>
    <xf numFmtId="38" fontId="4" fillId="34" borderId="0" xfId="68" applyNumberFormat="1" applyFill="1" applyBorder="1" applyAlignment="1">
      <alignment horizontal="right"/>
      <protection/>
    </xf>
    <xf numFmtId="0" fontId="11" fillId="0" borderId="0" xfId="68" applyFont="1" applyAlignment="1" quotePrefix="1">
      <alignment horizontal="left"/>
      <protection/>
    </xf>
    <xf numFmtId="0" fontId="4" fillId="0" borderId="43" xfId="68" applyBorder="1">
      <alignment/>
      <protection/>
    </xf>
    <xf numFmtId="0" fontId="4" fillId="34" borderId="41" xfId="68" applyFill="1" applyBorder="1" applyAlignment="1">
      <alignment horizontal="center"/>
      <protection/>
    </xf>
    <xf numFmtId="38" fontId="4" fillId="0" borderId="41" xfId="68" applyNumberFormat="1" applyBorder="1" applyAlignment="1" applyProtection="1">
      <alignment/>
      <protection locked="0"/>
    </xf>
    <xf numFmtId="38" fontId="4" fillId="0" borderId="49" xfId="68" applyNumberFormat="1" applyBorder="1" applyAlignment="1">
      <alignment/>
      <protection/>
    </xf>
    <xf numFmtId="0" fontId="14" fillId="0" borderId="16" xfId="68" applyFont="1" applyBorder="1" applyAlignment="1">
      <alignment horizontal="left"/>
      <protection/>
    </xf>
    <xf numFmtId="0" fontId="4" fillId="33" borderId="40" xfId="68" applyFill="1" applyBorder="1" applyAlignment="1">
      <alignment/>
      <protection/>
    </xf>
    <xf numFmtId="38" fontId="4" fillId="34" borderId="30" xfId="68" applyNumberFormat="1" applyFill="1" applyBorder="1" applyAlignment="1">
      <alignment/>
      <protection/>
    </xf>
    <xf numFmtId="38" fontId="4" fillId="34" borderId="50" xfId="68" applyNumberFormat="1" applyFill="1" applyBorder="1" applyAlignment="1">
      <alignment/>
      <protection/>
    </xf>
    <xf numFmtId="38" fontId="4" fillId="34" borderId="0" xfId="68" applyNumberFormat="1" applyFill="1" applyBorder="1" applyAlignment="1" applyProtection="1">
      <alignment/>
      <protection/>
    </xf>
    <xf numFmtId="38" fontId="4" fillId="34" borderId="16" xfId="68" applyNumberFormat="1" applyFill="1" applyBorder="1" applyProtection="1">
      <alignment/>
      <protection locked="0"/>
    </xf>
    <xf numFmtId="0" fontId="4" fillId="0" borderId="15" xfId="68" applyBorder="1" applyAlignment="1" applyProtection="1">
      <alignment horizontal="center"/>
      <protection locked="0"/>
    </xf>
    <xf numFmtId="0" fontId="4" fillId="0" borderId="43" xfId="68" applyBorder="1" applyProtection="1">
      <alignment/>
      <protection locked="0"/>
    </xf>
    <xf numFmtId="38" fontId="4" fillId="0" borderId="41" xfId="68" applyNumberFormat="1" applyBorder="1" applyProtection="1">
      <alignment/>
      <protection locked="0"/>
    </xf>
    <xf numFmtId="0" fontId="4" fillId="0" borderId="0" xfId="68" applyFont="1" applyBorder="1" applyAlignment="1" quotePrefix="1">
      <alignment horizontal="left"/>
      <protection/>
    </xf>
    <xf numFmtId="0" fontId="4" fillId="34" borderId="19" xfId="68" applyFont="1" applyFill="1" applyBorder="1" applyAlignment="1">
      <alignment horizontal="center"/>
      <protection/>
    </xf>
    <xf numFmtId="38" fontId="4" fillId="0" borderId="19" xfId="68" applyNumberFormat="1" applyFont="1" applyBorder="1">
      <alignment/>
      <protection/>
    </xf>
    <xf numFmtId="38" fontId="4" fillId="0" borderId="49" xfId="68" applyNumberFormat="1" applyBorder="1">
      <alignment/>
      <protection/>
    </xf>
    <xf numFmtId="38" fontId="4" fillId="0" borderId="0" xfId="68" applyNumberFormat="1" applyFont="1" applyBorder="1" applyProtection="1">
      <alignment/>
      <protection/>
    </xf>
    <xf numFmtId="0" fontId="4" fillId="0" borderId="0" xfId="68" applyProtection="1">
      <alignment/>
      <protection locked="0"/>
    </xf>
    <xf numFmtId="0" fontId="4" fillId="0" borderId="15" xfId="68" applyBorder="1" applyAlignment="1" applyProtection="1">
      <alignment horizontal="left"/>
      <protection locked="0"/>
    </xf>
    <xf numFmtId="0" fontId="4" fillId="0" borderId="14" xfId="68" applyBorder="1" applyProtection="1">
      <alignment/>
      <protection locked="0"/>
    </xf>
    <xf numFmtId="0" fontId="4" fillId="0" borderId="17" xfId="68" applyBorder="1" applyProtection="1">
      <alignment/>
      <protection locked="0"/>
    </xf>
    <xf numFmtId="0" fontId="21" fillId="0" borderId="14" xfId="68" applyFont="1" applyBorder="1" applyProtection="1">
      <alignment/>
      <protection locked="0"/>
    </xf>
    <xf numFmtId="0" fontId="4" fillId="0" borderId="26" xfId="68" applyBorder="1" applyProtection="1">
      <alignment/>
      <protection locked="0"/>
    </xf>
    <xf numFmtId="0" fontId="4" fillId="0" borderId="28" xfId="68" applyBorder="1" applyProtection="1">
      <alignment/>
      <protection locked="0"/>
    </xf>
    <xf numFmtId="0" fontId="4" fillId="0" borderId="23" xfId="68" applyBorder="1" applyProtection="1">
      <alignment/>
      <protection locked="0"/>
    </xf>
    <xf numFmtId="0" fontId="4" fillId="0" borderId="25" xfId="68" applyBorder="1" applyProtection="1">
      <alignment/>
      <protection locked="0"/>
    </xf>
    <xf numFmtId="0" fontId="4" fillId="0" borderId="0" xfId="68" applyAlignment="1" applyProtection="1">
      <alignment horizontal="right"/>
      <protection locked="0"/>
    </xf>
    <xf numFmtId="0" fontId="4" fillId="0" borderId="0" xfId="68" applyBorder="1" applyAlignment="1" applyProtection="1">
      <alignment horizontal="left"/>
      <protection locked="0"/>
    </xf>
    <xf numFmtId="0" fontId="4" fillId="0" borderId="0" xfId="68" applyAlignment="1" applyProtection="1">
      <alignment horizontal="centerContinuous"/>
      <protection locked="0"/>
    </xf>
    <xf numFmtId="0" fontId="4" fillId="0" borderId="35" xfId="68" applyBorder="1" applyAlignment="1" applyProtection="1" quotePrefix="1">
      <alignment horizontal="left"/>
      <protection locked="0"/>
    </xf>
    <xf numFmtId="0" fontId="4" fillId="0" borderId="15" xfId="68" applyBorder="1" applyAlignment="1" applyProtection="1" quotePrefix="1">
      <alignment horizontal="left"/>
      <protection locked="0"/>
    </xf>
    <xf numFmtId="0" fontId="23" fillId="0" borderId="0" xfId="69" applyFont="1" applyAlignment="1">
      <alignment horizontal="centerContinuous"/>
      <protection/>
    </xf>
    <xf numFmtId="0" fontId="4" fillId="0" borderId="0" xfId="69" applyAlignment="1">
      <alignment horizontal="centerContinuous"/>
      <protection/>
    </xf>
    <xf numFmtId="0" fontId="4" fillId="0" borderId="0" xfId="69">
      <alignment/>
      <protection/>
    </xf>
    <xf numFmtId="0" fontId="17" fillId="0" borderId="0" xfId="69" applyFont="1" applyAlignment="1">
      <alignment horizontal="centerContinuous"/>
      <protection/>
    </xf>
    <xf numFmtId="0" fontId="4" fillId="0" borderId="0" xfId="69" applyAlignment="1">
      <alignment horizontal="right"/>
      <protection/>
    </xf>
    <xf numFmtId="0" fontId="4" fillId="0" borderId="15" xfId="69" applyBorder="1" applyAlignment="1">
      <alignment horizontal="left"/>
      <protection/>
    </xf>
    <xf numFmtId="0" fontId="4" fillId="0" borderId="0" xfId="69" applyAlignment="1" quotePrefix="1">
      <alignment horizontal="right"/>
      <protection/>
    </xf>
    <xf numFmtId="0" fontId="4" fillId="0" borderId="10" xfId="69" applyBorder="1" applyAlignment="1">
      <alignment horizontal="center" vertical="center" wrapText="1"/>
      <protection/>
    </xf>
    <xf numFmtId="0" fontId="4" fillId="0" borderId="33" xfId="69" applyBorder="1" applyAlignment="1">
      <alignment horizontal="center" vertical="center" wrapText="1"/>
      <protection/>
    </xf>
    <xf numFmtId="0" fontId="4" fillId="0" borderId="51" xfId="69" applyBorder="1" applyAlignment="1">
      <alignment horizontal="center" vertical="center" wrapText="1"/>
      <protection/>
    </xf>
    <xf numFmtId="0" fontId="4" fillId="0" borderId="0" xfId="69" applyBorder="1" applyAlignment="1">
      <alignment horizontal="center" vertical="center" wrapText="1"/>
      <protection/>
    </xf>
    <xf numFmtId="0" fontId="4" fillId="34" borderId="14" xfId="69" applyFill="1" applyBorder="1">
      <alignment/>
      <protection/>
    </xf>
    <xf numFmtId="0" fontId="4" fillId="0" borderId="16" xfId="69" applyBorder="1" applyAlignment="1" quotePrefix="1">
      <alignment horizontal="center" vertical="center"/>
      <protection/>
    </xf>
    <xf numFmtId="0" fontId="4" fillId="0" borderId="31" xfId="69" applyBorder="1" applyAlignment="1" quotePrefix="1">
      <alignment horizontal="center" vertical="center"/>
      <protection/>
    </xf>
    <xf numFmtId="0" fontId="4" fillId="0" borderId="0" xfId="69" applyBorder="1" applyAlignment="1" quotePrefix="1">
      <alignment horizontal="center"/>
      <protection/>
    </xf>
    <xf numFmtId="0" fontId="4" fillId="0" borderId="18" xfId="69" applyBorder="1">
      <alignment/>
      <protection/>
    </xf>
    <xf numFmtId="0" fontId="4" fillId="0" borderId="16" xfId="69" applyBorder="1" applyProtection="1">
      <alignment/>
      <protection locked="0"/>
    </xf>
    <xf numFmtId="38" fontId="4" fillId="33" borderId="16" xfId="69" applyNumberFormat="1" applyFill="1" applyBorder="1">
      <alignment/>
      <protection/>
    </xf>
    <xf numFmtId="38" fontId="4" fillId="33" borderId="16" xfId="69" applyNumberFormat="1" applyFill="1" applyBorder="1" applyAlignment="1">
      <alignment horizontal="right"/>
      <protection/>
    </xf>
    <xf numFmtId="0" fontId="4" fillId="33" borderId="16" xfId="69" applyFill="1" applyBorder="1" applyAlignment="1">
      <alignment horizontal="center"/>
      <protection/>
    </xf>
    <xf numFmtId="0" fontId="4" fillId="33" borderId="31" xfId="69" applyFill="1" applyBorder="1">
      <alignment/>
      <protection/>
    </xf>
    <xf numFmtId="0" fontId="4" fillId="34" borderId="0" xfId="69" applyFill="1" applyBorder="1">
      <alignment/>
      <protection/>
    </xf>
    <xf numFmtId="0" fontId="4" fillId="0" borderId="18" xfId="69" applyBorder="1" applyAlignment="1">
      <alignment horizontal="center"/>
      <protection/>
    </xf>
    <xf numFmtId="38" fontId="4" fillId="0" borderId="16" xfId="69" applyNumberFormat="1" applyBorder="1" applyAlignment="1" applyProtection="1">
      <alignment horizontal="center"/>
      <protection locked="0"/>
    </xf>
    <xf numFmtId="38" fontId="4" fillId="0" borderId="16" xfId="69" applyNumberFormat="1" applyBorder="1" applyProtection="1">
      <alignment/>
      <protection locked="0"/>
    </xf>
    <xf numFmtId="0" fontId="4" fillId="0" borderId="16" xfId="69" applyNumberFormat="1" applyBorder="1" applyAlignment="1" applyProtection="1">
      <alignment horizontal="center"/>
      <protection locked="0"/>
    </xf>
    <xf numFmtId="38" fontId="4" fillId="0" borderId="16" xfId="69" applyNumberFormat="1" applyBorder="1" applyAlignment="1" applyProtection="1">
      <alignment horizontal="right"/>
      <protection locked="0"/>
    </xf>
    <xf numFmtId="38" fontId="4" fillId="0" borderId="31" xfId="69" applyNumberFormat="1" applyBorder="1">
      <alignment/>
      <protection/>
    </xf>
    <xf numFmtId="38" fontId="4" fillId="0" borderId="0" xfId="69" applyNumberFormat="1" applyBorder="1">
      <alignment/>
      <protection/>
    </xf>
    <xf numFmtId="0" fontId="4" fillId="0" borderId="14" xfId="69" applyBorder="1">
      <alignment/>
      <protection/>
    </xf>
    <xf numFmtId="0" fontId="4" fillId="33" borderId="16" xfId="69" applyNumberFormat="1" applyFill="1" applyBorder="1" applyAlignment="1">
      <alignment horizontal="center"/>
      <protection/>
    </xf>
    <xf numFmtId="0" fontId="4" fillId="33" borderId="16" xfId="69" applyFill="1" applyBorder="1" applyAlignment="1">
      <alignment horizontal="right"/>
      <protection/>
    </xf>
    <xf numFmtId="38" fontId="4" fillId="33" borderId="31" xfId="69" applyNumberFormat="1" applyFill="1" applyBorder="1">
      <alignment/>
      <protection/>
    </xf>
    <xf numFmtId="38" fontId="4" fillId="34" borderId="16" xfId="69" applyNumberFormat="1" applyFill="1" applyBorder="1" applyAlignment="1" applyProtection="1">
      <alignment horizontal="center"/>
      <protection locked="0"/>
    </xf>
    <xf numFmtId="38" fontId="4" fillId="34" borderId="16" xfId="69" applyNumberFormat="1" applyFill="1" applyBorder="1" applyProtection="1">
      <alignment/>
      <protection locked="0"/>
    </xf>
    <xf numFmtId="0" fontId="4" fillId="34" borderId="16" xfId="69" applyNumberFormat="1" applyFill="1" applyBorder="1" applyAlignment="1" applyProtection="1">
      <alignment horizontal="center"/>
      <protection locked="0"/>
    </xf>
    <xf numFmtId="38" fontId="4" fillId="34" borderId="16" xfId="69" applyNumberFormat="1" applyFill="1" applyBorder="1" applyAlignment="1" applyProtection="1">
      <alignment horizontal="right"/>
      <protection locked="0"/>
    </xf>
    <xf numFmtId="38" fontId="4" fillId="34" borderId="0" xfId="69" applyNumberFormat="1" applyFill="1" applyBorder="1">
      <alignment/>
      <protection/>
    </xf>
    <xf numFmtId="0" fontId="7" fillId="0" borderId="15" xfId="69" applyFont="1" applyBorder="1">
      <alignment/>
      <protection/>
    </xf>
    <xf numFmtId="38" fontId="4" fillId="0" borderId="16" xfId="69" applyNumberFormat="1" applyBorder="1">
      <alignment/>
      <protection/>
    </xf>
    <xf numFmtId="38" fontId="4" fillId="0" borderId="16" xfId="69" applyNumberFormat="1" applyBorder="1" applyAlignment="1">
      <alignment horizontal="right"/>
      <protection/>
    </xf>
    <xf numFmtId="0" fontId="4" fillId="0" borderId="16" xfId="69" applyBorder="1" applyAlignment="1">
      <alignment horizontal="right"/>
      <protection/>
    </xf>
    <xf numFmtId="38" fontId="4" fillId="0" borderId="17" xfId="69" applyNumberFormat="1" applyBorder="1">
      <alignment/>
      <protection/>
    </xf>
    <xf numFmtId="0" fontId="4" fillId="0" borderId="14" xfId="69" applyBorder="1" applyProtection="1">
      <alignment/>
      <protection locked="0"/>
    </xf>
    <xf numFmtId="0" fontId="4" fillId="0" borderId="15" xfId="69" applyBorder="1" applyProtection="1">
      <alignment/>
      <protection locked="0"/>
    </xf>
    <xf numFmtId="38" fontId="4" fillId="0" borderId="15" xfId="69" applyNumberFormat="1" applyBorder="1" applyProtection="1">
      <alignment/>
      <protection locked="0"/>
    </xf>
    <xf numFmtId="38" fontId="4" fillId="0" borderId="15" xfId="69" applyNumberFormat="1" applyBorder="1" applyAlignment="1" applyProtection="1">
      <alignment horizontal="right"/>
      <protection locked="0"/>
    </xf>
    <xf numFmtId="0" fontId="4" fillId="0" borderId="15" xfId="69" applyBorder="1" applyAlignment="1" applyProtection="1">
      <alignment horizontal="right"/>
      <protection locked="0"/>
    </xf>
    <xf numFmtId="38" fontId="4" fillId="0" borderId="17" xfId="69" applyNumberFormat="1" applyBorder="1" applyProtection="1">
      <alignment/>
      <protection locked="0"/>
    </xf>
    <xf numFmtId="0" fontId="4" fillId="0" borderId="22" xfId="69" applyBorder="1" applyProtection="1">
      <alignment/>
      <protection locked="0"/>
    </xf>
    <xf numFmtId="0" fontId="19" fillId="0" borderId="23" xfId="69" applyFont="1" applyBorder="1" applyProtection="1">
      <alignment/>
      <protection locked="0"/>
    </xf>
    <xf numFmtId="38" fontId="4" fillId="0" borderId="23" xfId="69" applyNumberFormat="1" applyBorder="1" applyProtection="1">
      <alignment/>
      <protection locked="0"/>
    </xf>
    <xf numFmtId="0" fontId="4" fillId="34" borderId="23" xfId="69" applyFill="1" applyBorder="1" applyAlignment="1" applyProtection="1">
      <alignment horizontal="right"/>
      <protection locked="0"/>
    </xf>
    <xf numFmtId="38" fontId="4" fillId="0" borderId="25" xfId="69" applyNumberFormat="1" applyBorder="1" applyProtection="1">
      <alignment/>
      <protection locked="0"/>
    </xf>
    <xf numFmtId="0" fontId="4" fillId="0" borderId="10" xfId="69" applyBorder="1">
      <alignment/>
      <protection/>
    </xf>
    <xf numFmtId="0" fontId="4" fillId="0" borderId="39" xfId="69" applyBorder="1">
      <alignment/>
      <protection/>
    </xf>
    <xf numFmtId="0" fontId="4" fillId="0" borderId="52" xfId="69" applyBorder="1">
      <alignment/>
      <protection/>
    </xf>
    <xf numFmtId="0" fontId="4" fillId="0" borderId="53" xfId="69" applyBorder="1" applyAlignment="1" quotePrefix="1">
      <alignment horizontal="left" vertical="center"/>
      <protection/>
    </xf>
    <xf numFmtId="0" fontId="4" fillId="0" borderId="53" xfId="69" applyBorder="1">
      <alignment/>
      <protection/>
    </xf>
    <xf numFmtId="0" fontId="4" fillId="0" borderId="52" xfId="69" applyBorder="1" applyAlignment="1">
      <alignment horizontal="center" vertical="center"/>
      <protection/>
    </xf>
    <xf numFmtId="0" fontId="4" fillId="0" borderId="52" xfId="69" applyBorder="1" applyAlignment="1">
      <alignment horizontal="right"/>
      <protection/>
    </xf>
    <xf numFmtId="0" fontId="4" fillId="0" borderId="39" xfId="69" applyFont="1" applyBorder="1" applyAlignment="1">
      <alignment horizontal="center" vertical="center" wrapText="1"/>
      <protection/>
    </xf>
    <xf numFmtId="0" fontId="4" fillId="0" borderId="37" xfId="69" applyFont="1" applyBorder="1" applyAlignment="1">
      <alignment horizontal="center" vertical="center" wrapText="1"/>
      <protection/>
    </xf>
    <xf numFmtId="0" fontId="4" fillId="0" borderId="54" xfId="69" applyBorder="1" applyAlignment="1">
      <alignment horizontal="center" vertical="center" wrapText="1"/>
      <protection/>
    </xf>
    <xf numFmtId="0" fontId="4" fillId="0" borderId="38" xfId="69" applyBorder="1" applyAlignment="1">
      <alignment horizontal="center" vertical="center" wrapText="1"/>
      <protection/>
    </xf>
    <xf numFmtId="0" fontId="4" fillId="0" borderId="40" xfId="69" applyBorder="1" applyAlignment="1">
      <alignment horizontal="center" vertical="center" wrapText="1"/>
      <protection/>
    </xf>
    <xf numFmtId="0" fontId="4" fillId="0" borderId="38" xfId="69" applyBorder="1" applyAlignment="1">
      <alignment horizontal="center"/>
      <protection/>
    </xf>
    <xf numFmtId="0" fontId="4" fillId="0" borderId="38" xfId="69" applyBorder="1" applyAlignment="1">
      <alignment horizontal="center" vertical="top"/>
      <protection/>
    </xf>
    <xf numFmtId="0" fontId="4" fillId="0" borderId="38" xfId="69" applyBorder="1" applyAlignment="1">
      <alignment horizontal="center" wrapText="1"/>
      <protection/>
    </xf>
    <xf numFmtId="0" fontId="4" fillId="0" borderId="15" xfId="69" applyBorder="1" applyAlignment="1">
      <alignment horizontal="center" wrapText="1"/>
      <protection/>
    </xf>
    <xf numFmtId="0" fontId="4" fillId="0" borderId="40" xfId="69" applyFont="1" applyBorder="1" applyAlignment="1" quotePrefix="1">
      <alignment horizontal="center" vertical="center" wrapText="1"/>
      <protection/>
    </xf>
    <xf numFmtId="0" fontId="4" fillId="0" borderId="17" xfId="69" applyFont="1" applyBorder="1" applyAlignment="1">
      <alignment horizontal="center" vertical="center" wrapText="1"/>
      <protection/>
    </xf>
    <xf numFmtId="0" fontId="4" fillId="34" borderId="55" xfId="69" applyFill="1" applyBorder="1">
      <alignment/>
      <protection/>
    </xf>
    <xf numFmtId="0" fontId="4" fillId="0" borderId="15" xfId="69" applyBorder="1" applyAlignment="1" quotePrefix="1">
      <alignment horizontal="center" vertical="center"/>
      <protection/>
    </xf>
    <xf numFmtId="0" fontId="4" fillId="0" borderId="40" xfId="69" applyBorder="1" applyAlignment="1">
      <alignment vertical="center"/>
      <protection/>
    </xf>
    <xf numFmtId="0" fontId="4" fillId="0" borderId="40" xfId="69" applyBorder="1" applyAlignment="1" quotePrefix="1">
      <alignment horizontal="center" vertical="center"/>
      <protection/>
    </xf>
    <xf numFmtId="0" fontId="4" fillId="0" borderId="40" xfId="69" applyBorder="1" applyAlignment="1" quotePrefix="1">
      <alignment horizontal="right" vertical="center"/>
      <protection/>
    </xf>
    <xf numFmtId="0" fontId="4" fillId="0" borderId="19" xfId="69" applyBorder="1" applyAlignment="1" quotePrefix="1">
      <alignment horizontal="center"/>
      <protection/>
    </xf>
    <xf numFmtId="0" fontId="4" fillId="0" borderId="55" xfId="69" applyBorder="1" applyAlignment="1">
      <alignment horizontal="center"/>
      <protection/>
    </xf>
    <xf numFmtId="0" fontId="4" fillId="0" borderId="40" xfId="69" applyBorder="1" applyAlignment="1" applyProtection="1">
      <alignment horizontal="center"/>
      <protection locked="0"/>
    </xf>
    <xf numFmtId="0" fontId="4" fillId="0" borderId="38" xfId="69" applyBorder="1" applyProtection="1">
      <alignment/>
      <protection locked="0"/>
    </xf>
    <xf numFmtId="0" fontId="4" fillId="0" borderId="38" xfId="69" applyBorder="1" applyAlignment="1" applyProtection="1">
      <alignment horizontal="center"/>
      <protection locked="0"/>
    </xf>
    <xf numFmtId="2" fontId="4" fillId="0" borderId="38" xfId="69" applyNumberFormat="1" applyBorder="1" applyProtection="1">
      <alignment/>
      <protection locked="0"/>
    </xf>
    <xf numFmtId="5" fontId="4" fillId="0" borderId="38" xfId="69" applyNumberFormat="1" applyBorder="1" applyProtection="1">
      <alignment/>
      <protection locked="0"/>
    </xf>
    <xf numFmtId="5" fontId="4" fillId="0" borderId="38" xfId="69" applyNumberFormat="1" applyBorder="1" applyAlignment="1" applyProtection="1">
      <alignment horizontal="right"/>
      <protection locked="0"/>
    </xf>
    <xf numFmtId="5" fontId="4" fillId="0" borderId="15" xfId="69" applyNumberFormat="1" applyBorder="1" applyProtection="1">
      <alignment/>
      <protection locked="0"/>
    </xf>
    <xf numFmtId="5" fontId="4" fillId="0" borderId="40" xfId="69" applyNumberFormat="1" applyBorder="1">
      <alignment/>
      <protection/>
    </xf>
    <xf numFmtId="5" fontId="4" fillId="0" borderId="17" xfId="69" applyNumberFormat="1" applyBorder="1" applyProtection="1">
      <alignment/>
      <protection locked="0"/>
    </xf>
    <xf numFmtId="0" fontId="4" fillId="0" borderId="56" xfId="69" applyBorder="1" applyAlignment="1">
      <alignment horizontal="center"/>
      <protection/>
    </xf>
    <xf numFmtId="0" fontId="4" fillId="0" borderId="23" xfId="69" applyBorder="1" applyProtection="1">
      <alignment/>
      <protection locked="0"/>
    </xf>
    <xf numFmtId="0" fontId="4" fillId="0" borderId="50" xfId="69" applyBorder="1" applyAlignment="1" applyProtection="1">
      <alignment horizontal="center"/>
      <protection locked="0"/>
    </xf>
    <xf numFmtId="0" fontId="4" fillId="0" borderId="24" xfId="69" applyBorder="1" applyProtection="1">
      <alignment/>
      <protection locked="0"/>
    </xf>
    <xf numFmtId="0" fontId="4" fillId="0" borderId="24" xfId="69" applyBorder="1" applyAlignment="1" applyProtection="1">
      <alignment horizontal="center"/>
      <protection locked="0"/>
    </xf>
    <xf numFmtId="2" fontId="4" fillId="0" borderId="24" xfId="69" applyNumberFormat="1" applyBorder="1" applyProtection="1">
      <alignment/>
      <protection locked="0"/>
    </xf>
    <xf numFmtId="5" fontId="4" fillId="0" borderId="24" xfId="69" applyNumberFormat="1" applyBorder="1" applyProtection="1">
      <alignment/>
      <protection locked="0"/>
    </xf>
    <xf numFmtId="5" fontId="4" fillId="0" borderId="24" xfId="69" applyNumberFormat="1" applyBorder="1" applyAlignment="1" applyProtection="1">
      <alignment horizontal="right"/>
      <protection locked="0"/>
    </xf>
    <xf numFmtId="5" fontId="4" fillId="0" borderId="23" xfId="69" applyNumberFormat="1" applyBorder="1" applyProtection="1">
      <alignment/>
      <protection locked="0"/>
    </xf>
    <xf numFmtId="5" fontId="4" fillId="0" borderId="50" xfId="69" applyNumberFormat="1" applyBorder="1">
      <alignment/>
      <protection/>
    </xf>
    <xf numFmtId="5" fontId="4" fillId="0" borderId="25" xfId="69" applyNumberFormat="1" applyBorder="1" applyProtection="1">
      <alignment/>
      <protection locked="0"/>
    </xf>
    <xf numFmtId="0" fontId="14" fillId="0" borderId="0" xfId="69" applyFont="1">
      <alignment/>
      <protection/>
    </xf>
    <xf numFmtId="0" fontId="7" fillId="0" borderId="0" xfId="69" applyFont="1" applyAlignment="1">
      <alignment vertical="center"/>
      <protection/>
    </xf>
    <xf numFmtId="0" fontId="4" fillId="0" borderId="0" xfId="70">
      <alignment/>
      <protection/>
    </xf>
    <xf numFmtId="0" fontId="4" fillId="0" borderId="0" xfId="70" applyAlignment="1">
      <alignment vertical="center"/>
      <protection/>
    </xf>
    <xf numFmtId="0" fontId="8" fillId="0" borderId="0" xfId="70" applyFont="1">
      <alignment/>
      <protection/>
    </xf>
    <xf numFmtId="0" fontId="4" fillId="0" borderId="0" xfId="70" applyFont="1">
      <alignment/>
      <protection/>
    </xf>
    <xf numFmtId="0" fontId="4" fillId="0" borderId="0" xfId="70" applyFont="1" applyAlignment="1">
      <alignment vertical="center"/>
      <protection/>
    </xf>
    <xf numFmtId="0" fontId="4" fillId="0" borderId="0" xfId="70" applyAlignment="1">
      <alignment horizontal="center"/>
      <protection/>
    </xf>
    <xf numFmtId="0" fontId="4" fillId="0" borderId="0" xfId="71">
      <alignment/>
      <protection/>
    </xf>
    <xf numFmtId="0" fontId="4" fillId="0" borderId="0" xfId="71" applyAlignment="1">
      <alignment horizontal="right"/>
      <protection/>
    </xf>
    <xf numFmtId="0" fontId="4" fillId="0" borderId="0" xfId="71" applyBorder="1">
      <alignment/>
      <protection/>
    </xf>
    <xf numFmtId="0" fontId="4" fillId="0" borderId="0" xfId="71" applyAlignment="1">
      <alignment horizontal="centerContinuous"/>
      <protection/>
    </xf>
    <xf numFmtId="0" fontId="4" fillId="0" borderId="0" xfId="71" applyAlignment="1" quotePrefix="1">
      <alignment horizontal="left"/>
      <protection/>
    </xf>
    <xf numFmtId="0" fontId="4" fillId="0" borderId="10" xfId="71" applyBorder="1">
      <alignment/>
      <protection/>
    </xf>
    <xf numFmtId="0" fontId="4" fillId="0" borderId="36" xfId="71" applyBorder="1">
      <alignment/>
      <protection/>
    </xf>
    <xf numFmtId="0" fontId="4" fillId="0" borderId="26" xfId="71" applyBorder="1" applyAlignment="1">
      <alignment horizontal="right"/>
      <protection/>
    </xf>
    <xf numFmtId="0" fontId="4" fillId="0" borderId="15" xfId="71" applyBorder="1" applyProtection="1">
      <alignment/>
      <protection locked="0"/>
    </xf>
    <xf numFmtId="0" fontId="4" fillId="0" borderId="17" xfId="71" applyBorder="1">
      <alignment/>
      <protection/>
    </xf>
    <xf numFmtId="0" fontId="4" fillId="0" borderId="27" xfId="71" applyBorder="1" applyAlignment="1" applyProtection="1">
      <alignment horizontal="left"/>
      <protection locked="0"/>
    </xf>
    <xf numFmtId="0" fontId="4" fillId="0" borderId="15" xfId="71" applyBorder="1" applyAlignment="1">
      <alignment horizontal="right"/>
      <protection/>
    </xf>
    <xf numFmtId="0" fontId="4" fillId="0" borderId="17" xfId="71" applyBorder="1" applyProtection="1">
      <alignment/>
      <protection locked="0"/>
    </xf>
    <xf numFmtId="0" fontId="4" fillId="0" borderId="15" xfId="71" applyBorder="1" applyAlignment="1" applyProtection="1">
      <alignment horizontal="left"/>
      <protection locked="0"/>
    </xf>
    <xf numFmtId="0" fontId="4" fillId="0" borderId="57" xfId="71" applyBorder="1" applyAlignment="1">
      <alignment horizontal="right"/>
      <protection/>
    </xf>
    <xf numFmtId="0" fontId="4" fillId="0" borderId="23" xfId="71" applyBorder="1" applyProtection="1">
      <alignment/>
      <protection locked="0"/>
    </xf>
    <xf numFmtId="0" fontId="4" fillId="0" borderId="25" xfId="71" applyBorder="1">
      <alignment/>
      <protection/>
    </xf>
    <xf numFmtId="0" fontId="4" fillId="0" borderId="23" xfId="71" applyBorder="1" applyAlignment="1" applyProtection="1">
      <alignment horizontal="left"/>
      <protection locked="0"/>
    </xf>
    <xf numFmtId="0" fontId="4" fillId="0" borderId="23" xfId="71" applyBorder="1" applyAlignment="1">
      <alignment horizontal="right"/>
      <protection/>
    </xf>
    <xf numFmtId="0" fontId="4" fillId="0" borderId="25" xfId="71" applyBorder="1" applyProtection="1">
      <alignment/>
      <protection locked="0"/>
    </xf>
    <xf numFmtId="0" fontId="4" fillId="0" borderId="22" xfId="71" applyBorder="1">
      <alignment/>
      <protection/>
    </xf>
    <xf numFmtId="0" fontId="4" fillId="0" borderId="0" xfId="71" applyAlignment="1">
      <alignment horizontal="center"/>
      <protection/>
    </xf>
    <xf numFmtId="0" fontId="4" fillId="0" borderId="53" xfId="71" applyBorder="1" applyProtection="1">
      <alignment/>
      <protection locked="0"/>
    </xf>
    <xf numFmtId="0" fontId="4" fillId="0" borderId="33" xfId="71" applyBorder="1" applyAlignment="1">
      <alignment horizontal="right"/>
      <protection/>
    </xf>
    <xf numFmtId="0" fontId="4" fillId="0" borderId="34" xfId="71" applyBorder="1" applyProtection="1">
      <alignment/>
      <protection locked="0"/>
    </xf>
    <xf numFmtId="0" fontId="4" fillId="0" borderId="34" xfId="71" applyBorder="1" applyProtection="1">
      <alignment/>
      <protection/>
    </xf>
    <xf numFmtId="0" fontId="4" fillId="0" borderId="36" xfId="71" applyBorder="1" applyProtection="1">
      <alignment/>
      <protection locked="0"/>
    </xf>
    <xf numFmtId="0" fontId="4" fillId="0" borderId="42" xfId="71" applyBorder="1" applyAlignment="1">
      <alignment horizontal="right"/>
      <protection/>
    </xf>
    <xf numFmtId="0" fontId="4" fillId="0" borderId="27" xfId="71" applyBorder="1" applyProtection="1">
      <alignment/>
      <protection locked="0"/>
    </xf>
    <xf numFmtId="0" fontId="4" fillId="0" borderId="15" xfId="71" applyBorder="1" applyProtection="1">
      <alignment/>
      <protection/>
    </xf>
    <xf numFmtId="0" fontId="4" fillId="0" borderId="28" xfId="71" applyBorder="1" applyProtection="1">
      <alignment/>
      <protection locked="0"/>
    </xf>
    <xf numFmtId="0" fontId="4" fillId="0" borderId="58" xfId="71" applyBorder="1" applyAlignment="1">
      <alignment horizontal="right"/>
      <protection/>
    </xf>
    <xf numFmtId="0" fontId="4" fillId="0" borderId="59" xfId="71" applyBorder="1" applyProtection="1">
      <alignment/>
      <protection locked="0"/>
    </xf>
    <xf numFmtId="0" fontId="4" fillId="0" borderId="60" xfId="71" applyBorder="1" applyAlignment="1">
      <alignment horizontal="right"/>
      <protection/>
    </xf>
    <xf numFmtId="0" fontId="4" fillId="0" borderId="61" xfId="71" applyBorder="1" applyProtection="1">
      <alignment/>
      <protection locked="0"/>
    </xf>
    <xf numFmtId="0" fontId="4" fillId="0" borderId="61" xfId="71" applyBorder="1" applyProtection="1">
      <alignment/>
      <protection/>
    </xf>
    <xf numFmtId="0" fontId="4" fillId="0" borderId="62" xfId="71" applyBorder="1" applyProtection="1">
      <alignment/>
      <protection locked="0"/>
    </xf>
    <xf numFmtId="0" fontId="4" fillId="0" borderId="63" xfId="71" applyBorder="1" applyAlignment="1" applyProtection="1">
      <alignment horizontal="center"/>
      <protection locked="0"/>
    </xf>
    <xf numFmtId="0" fontId="4" fillId="0" borderId="64" xfId="71" applyBorder="1" applyAlignment="1">
      <alignment horizontal="right"/>
      <protection/>
    </xf>
    <xf numFmtId="0" fontId="4" fillId="0" borderId="65" xfId="71" applyBorder="1" applyProtection="1">
      <alignment/>
      <protection locked="0"/>
    </xf>
    <xf numFmtId="0" fontId="4" fillId="0" borderId="65" xfId="71" applyBorder="1" applyAlignment="1" applyProtection="1">
      <alignment horizontal="center"/>
      <protection/>
    </xf>
    <xf numFmtId="0" fontId="4" fillId="0" borderId="66" xfId="71" applyBorder="1" applyAlignment="1" applyProtection="1">
      <alignment horizontal="center"/>
      <protection locked="0"/>
    </xf>
    <xf numFmtId="0" fontId="4" fillId="0" borderId="43" xfId="71" applyBorder="1" applyProtection="1">
      <alignment/>
      <protection locked="0"/>
    </xf>
    <xf numFmtId="0" fontId="4" fillId="0" borderId="27" xfId="71" applyBorder="1" applyProtection="1">
      <alignment/>
      <protection/>
    </xf>
    <xf numFmtId="0" fontId="4" fillId="0" borderId="34" xfId="71" applyBorder="1" applyAlignment="1" quotePrefix="1">
      <alignment horizontal="center"/>
      <protection/>
    </xf>
    <xf numFmtId="0" fontId="4" fillId="0" borderId="11" xfId="71" applyBorder="1">
      <alignment/>
      <protection/>
    </xf>
    <xf numFmtId="0" fontId="4" fillId="0" borderId="0" xfId="71" applyBorder="1" applyAlignment="1" quotePrefix="1">
      <alignment horizontal="right"/>
      <protection/>
    </xf>
    <xf numFmtId="0" fontId="4" fillId="0" borderId="0" xfId="71" applyBorder="1" applyAlignment="1" applyProtection="1">
      <alignment horizontal="center"/>
      <protection locked="0"/>
    </xf>
    <xf numFmtId="0" fontId="4" fillId="0" borderId="0" xfId="71" applyBorder="1" applyAlignment="1">
      <alignment horizontal="right"/>
      <protection/>
    </xf>
    <xf numFmtId="0" fontId="4" fillId="0" borderId="0" xfId="71" applyBorder="1" applyProtection="1">
      <alignment/>
      <protection locked="0"/>
    </xf>
    <xf numFmtId="0" fontId="4" fillId="0" borderId="0" xfId="71" applyBorder="1" applyAlignment="1" applyProtection="1">
      <alignment horizontal="center"/>
      <protection/>
    </xf>
    <xf numFmtId="0" fontId="14" fillId="0" borderId="0" xfId="71" applyFont="1" applyAlignment="1" applyProtection="1" quotePrefix="1">
      <alignment horizontal="left"/>
      <protection/>
    </xf>
    <xf numFmtId="0" fontId="4" fillId="0" borderId="0" xfId="72">
      <alignment/>
      <protection/>
    </xf>
    <xf numFmtId="0" fontId="19" fillId="0" borderId="0" xfId="72" applyFont="1" applyAlignment="1">
      <alignment horizontal="centerContinuous"/>
      <protection/>
    </xf>
    <xf numFmtId="0" fontId="19" fillId="0" borderId="0" xfId="72" applyFont="1">
      <alignment/>
      <protection/>
    </xf>
    <xf numFmtId="0" fontId="4" fillId="0" borderId="0" xfId="73">
      <alignment/>
      <protection/>
    </xf>
    <xf numFmtId="0" fontId="4" fillId="0" borderId="0" xfId="73" applyAlignment="1">
      <alignment horizontal="right"/>
      <protection/>
    </xf>
    <xf numFmtId="0" fontId="4" fillId="0" borderId="15" xfId="73" applyBorder="1" applyAlignment="1">
      <alignment horizontal="left"/>
      <protection/>
    </xf>
    <xf numFmtId="0" fontId="4" fillId="0" borderId="0" xfId="73" applyAlignment="1" quotePrefix="1">
      <alignment horizontal="right"/>
      <protection/>
    </xf>
    <xf numFmtId="0" fontId="4" fillId="0" borderId="0" xfId="73" applyBorder="1" applyAlignment="1">
      <alignment horizontal="left"/>
      <protection/>
    </xf>
    <xf numFmtId="0" fontId="6" fillId="0" borderId="0" xfId="73" applyFont="1" applyAlignment="1">
      <alignment horizontal="centerContinuous"/>
      <protection/>
    </xf>
    <xf numFmtId="0" fontId="4" fillId="0" borderId="0" xfId="73" applyAlignment="1">
      <alignment horizontal="centerContinuous"/>
      <protection/>
    </xf>
    <xf numFmtId="0" fontId="19" fillId="0" borderId="0" xfId="73" applyFont="1" applyAlignment="1">
      <alignment horizontal="centerContinuous"/>
      <protection/>
    </xf>
    <xf numFmtId="0" fontId="17" fillId="0" borderId="0" xfId="73" applyFont="1" applyAlignment="1">
      <alignment horizontal="centerContinuous"/>
      <protection/>
    </xf>
    <xf numFmtId="0" fontId="4" fillId="0" borderId="0" xfId="73" applyAlignment="1">
      <alignment horizontal="center"/>
      <protection/>
    </xf>
    <xf numFmtId="0" fontId="4" fillId="0" borderId="10" xfId="73" applyBorder="1" applyAlignment="1">
      <alignment horizontal="center" vertical="center" wrapText="1"/>
      <protection/>
    </xf>
    <xf numFmtId="0" fontId="4" fillId="0" borderId="12" xfId="73" applyBorder="1" applyAlignment="1">
      <alignment horizontal="center" vertical="center" wrapText="1"/>
      <protection/>
    </xf>
    <xf numFmtId="0" fontId="4" fillId="0" borderId="33" xfId="73" applyBorder="1" applyAlignment="1">
      <alignment horizontal="centerContinuous" vertical="center" wrapText="1"/>
      <protection/>
    </xf>
    <xf numFmtId="0" fontId="4" fillId="0" borderId="34" xfId="73" applyBorder="1" applyAlignment="1">
      <alignment horizontal="centerContinuous" vertical="center" wrapText="1"/>
      <protection/>
    </xf>
    <xf numFmtId="0" fontId="4" fillId="0" borderId="34" xfId="73" applyBorder="1" applyAlignment="1">
      <alignment horizontal="centerContinuous" vertical="center"/>
      <protection/>
    </xf>
    <xf numFmtId="0" fontId="4" fillId="0" borderId="34" xfId="73" applyBorder="1" applyAlignment="1">
      <alignment horizontal="centerContinuous"/>
      <protection/>
    </xf>
    <xf numFmtId="0" fontId="4" fillId="0" borderId="36" xfId="73" applyBorder="1" applyAlignment="1">
      <alignment horizontal="centerContinuous" vertical="center" wrapText="1"/>
      <protection/>
    </xf>
    <xf numFmtId="0" fontId="4" fillId="0" borderId="0" xfId="73" applyBorder="1" applyAlignment="1">
      <alignment horizontal="center" vertical="center" wrapText="1"/>
      <protection/>
    </xf>
    <xf numFmtId="0" fontId="4" fillId="0" borderId="18" xfId="73" applyBorder="1" applyAlignment="1">
      <alignment horizontal="center"/>
      <protection/>
    </xf>
    <xf numFmtId="0" fontId="4" fillId="0" borderId="19" xfId="73" applyBorder="1" applyAlignment="1">
      <alignment horizontal="center" vertical="center" wrapText="1"/>
      <protection/>
    </xf>
    <xf numFmtId="0" fontId="4" fillId="0" borderId="16" xfId="73" applyBorder="1" applyAlignment="1" quotePrefix="1">
      <alignment horizontal="centerContinuous" vertical="center"/>
      <protection/>
    </xf>
    <xf numFmtId="0" fontId="4" fillId="0" borderId="27" xfId="73" applyBorder="1" applyAlignment="1">
      <alignment horizontal="centerContinuous" vertical="center" wrapText="1"/>
      <protection/>
    </xf>
    <xf numFmtId="0" fontId="4" fillId="0" borderId="19" xfId="73" applyBorder="1" applyAlignment="1">
      <alignment horizontal="center" vertical="center"/>
      <protection/>
    </xf>
    <xf numFmtId="0" fontId="4" fillId="0" borderId="29" xfId="73" applyBorder="1" applyAlignment="1">
      <alignment horizontal="center" vertical="center" wrapText="1"/>
      <protection/>
    </xf>
    <xf numFmtId="0" fontId="4" fillId="0" borderId="18" xfId="73" applyBorder="1" applyAlignment="1">
      <alignment horizontal="center" vertical="center" wrapText="1"/>
      <protection/>
    </xf>
    <xf numFmtId="0" fontId="4" fillId="0" borderId="19" xfId="73" applyBorder="1" applyAlignment="1">
      <alignment horizontal="center" vertical="top"/>
      <protection/>
    </xf>
    <xf numFmtId="0" fontId="4" fillId="0" borderId="16" xfId="73" applyBorder="1" applyAlignment="1" quotePrefix="1">
      <alignment horizontal="center" vertical="center" wrapText="1"/>
      <protection/>
    </xf>
    <xf numFmtId="0" fontId="4" fillId="0" borderId="16" xfId="73" applyBorder="1" applyAlignment="1">
      <alignment horizontal="center" vertical="top" wrapText="1"/>
      <protection/>
    </xf>
    <xf numFmtId="0" fontId="4" fillId="0" borderId="31" xfId="73" applyBorder="1" applyAlignment="1">
      <alignment horizontal="center" vertical="center" wrapText="1"/>
      <protection/>
    </xf>
    <xf numFmtId="0" fontId="4" fillId="34" borderId="14" xfId="73" applyFill="1" applyBorder="1">
      <alignment/>
      <protection/>
    </xf>
    <xf numFmtId="0" fontId="4" fillId="0" borderId="16" xfId="73" applyBorder="1" applyAlignment="1" quotePrefix="1">
      <alignment horizontal="center" vertical="center"/>
      <protection/>
    </xf>
    <xf numFmtId="0" fontId="4" fillId="0" borderId="32" xfId="73" applyBorder="1" applyAlignment="1" quotePrefix="1">
      <alignment horizontal="center" vertical="center"/>
      <protection/>
    </xf>
    <xf numFmtId="0" fontId="4" fillId="0" borderId="0" xfId="73" applyBorder="1" applyAlignment="1" quotePrefix="1">
      <alignment horizontal="center" vertical="center"/>
      <protection/>
    </xf>
    <xf numFmtId="0" fontId="4" fillId="0" borderId="0" xfId="73" applyBorder="1" applyAlignment="1" quotePrefix="1">
      <alignment horizontal="center"/>
      <protection/>
    </xf>
    <xf numFmtId="0" fontId="4" fillId="0" borderId="35" xfId="73" applyBorder="1" applyAlignment="1">
      <alignment horizontal="center"/>
      <protection/>
    </xf>
    <xf numFmtId="0" fontId="4" fillId="0" borderId="33" xfId="73" applyBorder="1">
      <alignment/>
      <protection/>
    </xf>
    <xf numFmtId="38" fontId="4" fillId="0" borderId="33" xfId="73" applyNumberFormat="1" applyBorder="1" applyProtection="1">
      <alignment/>
      <protection locked="0"/>
    </xf>
    <xf numFmtId="38" fontId="4" fillId="0" borderId="33" xfId="73" applyNumberFormat="1" applyBorder="1" applyAlignment="1" applyProtection="1">
      <alignment horizontal="right"/>
      <protection locked="0"/>
    </xf>
    <xf numFmtId="38" fontId="4" fillId="0" borderId="67" xfId="73" applyNumberFormat="1" applyBorder="1" applyAlignment="1">
      <alignment horizontal="right"/>
      <protection/>
    </xf>
    <xf numFmtId="0" fontId="4" fillId="0" borderId="0" xfId="73" applyBorder="1" applyAlignment="1">
      <alignment horizontal="center"/>
      <protection/>
    </xf>
    <xf numFmtId="38" fontId="4" fillId="0" borderId="0" xfId="73" applyNumberFormat="1" applyBorder="1">
      <alignment/>
      <protection/>
    </xf>
    <xf numFmtId="0" fontId="4" fillId="0" borderId="14" xfId="73" applyBorder="1" applyAlignment="1">
      <alignment horizontal="center"/>
      <protection/>
    </xf>
    <xf numFmtId="0" fontId="4" fillId="0" borderId="16" xfId="73" applyBorder="1">
      <alignment/>
      <protection/>
    </xf>
    <xf numFmtId="38" fontId="4" fillId="0" borderId="16" xfId="73" applyNumberFormat="1" applyBorder="1" applyProtection="1">
      <alignment/>
      <protection locked="0"/>
    </xf>
    <xf numFmtId="38" fontId="4" fillId="0" borderId="16" xfId="73" applyNumberFormat="1" applyBorder="1" applyAlignment="1" applyProtection="1">
      <alignment horizontal="right"/>
      <protection locked="0"/>
    </xf>
    <xf numFmtId="0" fontId="4" fillId="0" borderId="16" xfId="73" applyBorder="1" applyAlignment="1" applyProtection="1">
      <alignment horizontal="left"/>
      <protection locked="0"/>
    </xf>
    <xf numFmtId="0" fontId="4" fillId="0" borderId="68" xfId="73" applyBorder="1" applyAlignment="1">
      <alignment horizontal="center"/>
      <protection/>
    </xf>
    <xf numFmtId="0" fontId="4" fillId="0" borderId="69" xfId="73" applyFont="1" applyBorder="1">
      <alignment/>
      <protection/>
    </xf>
    <xf numFmtId="38" fontId="4" fillId="0" borderId="69" xfId="73" applyNumberFormat="1" applyBorder="1">
      <alignment/>
      <protection/>
    </xf>
    <xf numFmtId="38" fontId="4" fillId="0" borderId="70" xfId="73" applyNumberFormat="1" applyBorder="1" applyAlignment="1">
      <alignment horizontal="right"/>
      <protection/>
    </xf>
    <xf numFmtId="0" fontId="4" fillId="34" borderId="0" xfId="73" applyFill="1" applyBorder="1">
      <alignment/>
      <protection/>
    </xf>
    <xf numFmtId="0" fontId="4" fillId="0" borderId="12" xfId="73" applyBorder="1" applyAlignment="1">
      <alignment horizontal="centerContinuous" vertical="center"/>
      <protection/>
    </xf>
    <xf numFmtId="0" fontId="4" fillId="0" borderId="11" xfId="73" applyBorder="1" applyAlignment="1">
      <alignment horizontal="centerContinuous" vertical="center"/>
      <protection/>
    </xf>
    <xf numFmtId="0" fontId="4" fillId="0" borderId="11" xfId="73" applyBorder="1" applyAlignment="1">
      <alignment horizontal="centerContinuous"/>
      <protection/>
    </xf>
    <xf numFmtId="0" fontId="4" fillId="0" borderId="11" xfId="73" applyBorder="1" applyAlignment="1" quotePrefix="1">
      <alignment horizontal="centerContinuous" vertical="center" wrapText="1"/>
      <protection/>
    </xf>
    <xf numFmtId="0" fontId="4" fillId="0" borderId="11" xfId="73" applyBorder="1" applyAlignment="1">
      <alignment horizontal="centerContinuous" vertical="top" wrapText="1"/>
      <protection/>
    </xf>
    <xf numFmtId="0" fontId="4" fillId="0" borderId="37" xfId="73" applyBorder="1" applyAlignment="1">
      <alignment horizontal="center" wrapText="1"/>
      <protection/>
    </xf>
    <xf numFmtId="0" fontId="4" fillId="34" borderId="22" xfId="73" applyFill="1" applyBorder="1" applyAlignment="1">
      <alignment horizontal="center"/>
      <protection/>
    </xf>
    <xf numFmtId="0" fontId="4" fillId="0" borderId="30" xfId="73" applyBorder="1" applyAlignment="1" quotePrefix="1">
      <alignment horizontal="center" vertical="center"/>
      <protection/>
    </xf>
    <xf numFmtId="0" fontId="4" fillId="0" borderId="23" xfId="73" applyBorder="1" applyAlignment="1" quotePrefix="1">
      <alignment horizontal="center" vertical="center"/>
      <protection/>
    </xf>
    <xf numFmtId="38" fontId="4" fillId="0" borderId="15" xfId="73" applyNumberFormat="1" applyBorder="1">
      <alignment/>
      <protection/>
    </xf>
    <xf numFmtId="38" fontId="4" fillId="0" borderId="16" xfId="73" applyNumberFormat="1" applyBorder="1" applyAlignment="1">
      <alignment horizontal="right"/>
      <protection/>
    </xf>
    <xf numFmtId="38" fontId="4" fillId="0" borderId="31" xfId="73" applyNumberFormat="1" applyBorder="1" applyAlignment="1">
      <alignment horizontal="right"/>
      <protection/>
    </xf>
    <xf numFmtId="0" fontId="4" fillId="0" borderId="16" xfId="73" applyBorder="1" applyAlignment="1" quotePrefix="1">
      <alignment horizontal="left"/>
      <protection/>
    </xf>
    <xf numFmtId="174" fontId="4" fillId="0" borderId="16" xfId="73" applyNumberFormat="1" applyBorder="1" applyAlignment="1">
      <alignment horizontal="right"/>
      <protection/>
    </xf>
    <xf numFmtId="174" fontId="4" fillId="0" borderId="31" xfId="73" applyNumberFormat="1" applyBorder="1" applyAlignment="1">
      <alignment horizontal="right"/>
      <protection/>
    </xf>
    <xf numFmtId="38" fontId="4" fillId="0" borderId="15" xfId="73" applyNumberFormat="1" applyBorder="1" applyAlignment="1">
      <alignment horizontal="right"/>
      <protection/>
    </xf>
    <xf numFmtId="38" fontId="4" fillId="0" borderId="15" xfId="73" applyNumberFormat="1" applyBorder="1" applyProtection="1">
      <alignment/>
      <protection locked="0"/>
    </xf>
    <xf numFmtId="38" fontId="4" fillId="0" borderId="15" xfId="73" applyNumberFormat="1" applyBorder="1" applyProtection="1">
      <alignment/>
      <protection/>
    </xf>
    <xf numFmtId="38" fontId="4" fillId="0" borderId="16" xfId="42" applyNumberFormat="1" applyFont="1" applyBorder="1" applyAlignment="1" applyProtection="1">
      <alignment horizontal="right"/>
      <protection locked="0"/>
    </xf>
    <xf numFmtId="38" fontId="4" fillId="0" borderId="31" xfId="42" applyNumberFormat="1" applyFont="1" applyBorder="1" applyAlignment="1" applyProtection="1">
      <alignment horizontal="right"/>
      <protection locked="0"/>
    </xf>
    <xf numFmtId="38" fontId="4" fillId="0" borderId="31" xfId="73" applyNumberFormat="1" applyBorder="1" applyAlignment="1" applyProtection="1">
      <alignment horizontal="right"/>
      <protection locked="0"/>
    </xf>
    <xf numFmtId="38" fontId="4" fillId="0" borderId="23" xfId="73" applyNumberFormat="1" applyBorder="1">
      <alignment/>
      <protection/>
    </xf>
    <xf numFmtId="38" fontId="4" fillId="0" borderId="24" xfId="73" applyNumberFormat="1" applyBorder="1">
      <alignment/>
      <protection/>
    </xf>
    <xf numFmtId="38" fontId="4" fillId="0" borderId="30" xfId="73" applyNumberFormat="1" applyBorder="1" applyAlignment="1">
      <alignment horizontal="right"/>
      <protection/>
    </xf>
    <xf numFmtId="38" fontId="4" fillId="0" borderId="32" xfId="73" applyNumberFormat="1" applyBorder="1" applyAlignment="1">
      <alignment horizontal="right"/>
      <protection/>
    </xf>
    <xf numFmtId="0" fontId="4" fillId="0" borderId="45" xfId="73" applyBorder="1">
      <alignment/>
      <protection/>
    </xf>
    <xf numFmtId="0" fontId="4" fillId="0" borderId="71" xfId="73" applyBorder="1">
      <alignment/>
      <protection/>
    </xf>
    <xf numFmtId="38" fontId="4" fillId="0" borderId="45" xfId="73" applyNumberFormat="1" applyBorder="1">
      <alignment/>
      <protection/>
    </xf>
    <xf numFmtId="0" fontId="4" fillId="0" borderId="0" xfId="74">
      <alignment/>
      <protection/>
    </xf>
    <xf numFmtId="0" fontId="4" fillId="0" borderId="0" xfId="74" applyAlignment="1">
      <alignment horizontal="right"/>
      <protection/>
    </xf>
    <xf numFmtId="0" fontId="4" fillId="0" borderId="15" xfId="74" applyBorder="1" applyAlignment="1">
      <alignment horizontal="left"/>
      <protection/>
    </xf>
    <xf numFmtId="0" fontId="4" fillId="0" borderId="72" xfId="74" applyBorder="1" applyAlignment="1">
      <alignment horizontal="center" vertical="center" wrapText="1"/>
      <protection/>
    </xf>
    <xf numFmtId="0" fontId="4" fillId="0" borderId="34" xfId="74" applyBorder="1" applyAlignment="1">
      <alignment horizontal="centerContinuous" vertical="center" wrapText="1"/>
      <protection/>
    </xf>
    <xf numFmtId="0" fontId="4" fillId="0" borderId="51" xfId="74" applyBorder="1" applyAlignment="1">
      <alignment horizontal="center" vertical="center" wrapText="1"/>
      <protection/>
    </xf>
    <xf numFmtId="0" fontId="4" fillId="0" borderId="55" xfId="74" applyBorder="1" applyAlignment="1" quotePrefix="1">
      <alignment horizontal="center" vertical="top"/>
      <protection/>
    </xf>
    <xf numFmtId="0" fontId="4" fillId="0" borderId="54" xfId="74" applyBorder="1" applyAlignment="1" quotePrefix="1">
      <alignment horizontal="center" vertical="top"/>
      <protection/>
    </xf>
    <xf numFmtId="0" fontId="4" fillId="0" borderId="0" xfId="74" applyBorder="1" applyAlignment="1">
      <alignment horizontal="left" wrapText="1"/>
      <protection/>
    </xf>
    <xf numFmtId="38" fontId="4" fillId="0" borderId="29" xfId="74" applyNumberFormat="1" applyBorder="1" applyProtection="1">
      <alignment/>
      <protection locked="0"/>
    </xf>
    <xf numFmtId="0" fontId="4" fillId="0" borderId="73" xfId="74" applyBorder="1" applyAlignment="1" quotePrefix="1">
      <alignment horizontal="center" vertical="top"/>
      <protection/>
    </xf>
    <xf numFmtId="0" fontId="4" fillId="0" borderId="61" xfId="74" applyBorder="1" applyAlignment="1">
      <alignment horizontal="left" wrapText="1"/>
      <protection/>
    </xf>
    <xf numFmtId="38" fontId="4" fillId="0" borderId="74" xfId="74" applyNumberFormat="1" applyBorder="1" applyProtection="1">
      <alignment/>
      <protection locked="0"/>
    </xf>
    <xf numFmtId="0" fontId="4" fillId="0" borderId="61" xfId="74" applyBorder="1" applyAlignment="1">
      <alignment horizontal="left"/>
      <protection/>
    </xf>
    <xf numFmtId="0" fontId="4" fillId="0" borderId="75" xfId="74" applyBorder="1" applyAlignment="1" quotePrefix="1">
      <alignment horizontal="center" vertical="top"/>
      <protection/>
    </xf>
    <xf numFmtId="38" fontId="4" fillId="0" borderId="32" xfId="74" applyNumberFormat="1" applyBorder="1">
      <alignment/>
      <protection/>
    </xf>
    <xf numFmtId="0" fontId="4" fillId="0" borderId="0" xfId="76">
      <alignment/>
      <protection/>
    </xf>
    <xf numFmtId="0" fontId="4" fillId="0" borderId="0" xfId="76" applyAlignment="1">
      <alignment horizontal="right"/>
      <protection/>
    </xf>
    <xf numFmtId="0" fontId="4" fillId="0" borderId="15" xfId="76" applyBorder="1" applyAlignment="1">
      <alignment horizontal="left"/>
      <protection/>
    </xf>
    <xf numFmtId="0" fontId="4" fillId="0" borderId="0" xfId="76" applyBorder="1" applyAlignment="1">
      <alignment horizontal="left"/>
      <protection/>
    </xf>
    <xf numFmtId="0" fontId="4" fillId="0" borderId="0" xfId="76" applyBorder="1">
      <alignment/>
      <protection/>
    </xf>
    <xf numFmtId="0" fontId="24" fillId="0" borderId="0" xfId="76" applyFont="1" applyAlignment="1">
      <alignment horizontal="centerContinuous"/>
      <protection/>
    </xf>
    <xf numFmtId="0" fontId="4" fillId="0" borderId="0" xfId="76" applyAlignment="1">
      <alignment horizontal="centerContinuous"/>
      <protection/>
    </xf>
    <xf numFmtId="0" fontId="4" fillId="0" borderId="10" xfId="76" applyBorder="1" applyAlignment="1">
      <alignment horizontal="center" vertical="center" wrapText="1"/>
      <protection/>
    </xf>
    <xf numFmtId="0" fontId="4" fillId="0" borderId="12" xfId="76" applyBorder="1" applyAlignment="1">
      <alignment horizontal="center" vertical="center" wrapText="1"/>
      <protection/>
    </xf>
    <xf numFmtId="0" fontId="4" fillId="0" borderId="33" xfId="76" applyBorder="1" applyAlignment="1">
      <alignment horizontal="center" vertical="center" wrapText="1"/>
      <protection/>
    </xf>
    <xf numFmtId="0" fontId="4" fillId="0" borderId="33" xfId="76" applyBorder="1" applyAlignment="1" quotePrefix="1">
      <alignment horizontal="center" vertical="center" wrapText="1"/>
      <protection/>
    </xf>
    <xf numFmtId="0" fontId="11" fillId="0" borderId="33" xfId="76" applyFont="1" applyBorder="1" applyAlignment="1" quotePrefix="1">
      <alignment horizontal="center" vertical="center" wrapText="1"/>
      <protection/>
    </xf>
    <xf numFmtId="0" fontId="4" fillId="0" borderId="51" xfId="76" applyBorder="1" applyAlignment="1" quotePrefix="1">
      <alignment horizontal="center" vertical="center" wrapText="1"/>
      <protection/>
    </xf>
    <xf numFmtId="0" fontId="4" fillId="0" borderId="14" xfId="76" applyBorder="1">
      <alignment/>
      <protection/>
    </xf>
    <xf numFmtId="0" fontId="4" fillId="0" borderId="16" xfId="76" applyBorder="1">
      <alignment/>
      <protection/>
    </xf>
    <xf numFmtId="0" fontId="4" fillId="0" borderId="16" xfId="76" applyBorder="1" applyAlignment="1" quotePrefix="1">
      <alignment horizontal="center"/>
      <protection/>
    </xf>
    <xf numFmtId="0" fontId="4" fillId="0" borderId="31" xfId="76" applyBorder="1" applyAlignment="1" quotePrefix="1">
      <alignment horizontal="center"/>
      <protection/>
    </xf>
    <xf numFmtId="0" fontId="4" fillId="0" borderId="0" xfId="76" applyBorder="1" applyAlignment="1">
      <alignment horizontal="center"/>
      <protection/>
    </xf>
    <xf numFmtId="0" fontId="4" fillId="0" borderId="14" xfId="76" applyBorder="1" applyAlignment="1">
      <alignment horizontal="center"/>
      <protection/>
    </xf>
    <xf numFmtId="0" fontId="4" fillId="0" borderId="16" xfId="76" applyFont="1" applyBorder="1">
      <alignment/>
      <protection/>
    </xf>
    <xf numFmtId="3" fontId="4" fillId="0" borderId="16" xfId="76" applyNumberFormat="1" applyBorder="1" applyProtection="1">
      <alignment/>
      <protection locked="0"/>
    </xf>
    <xf numFmtId="0" fontId="4" fillId="0" borderId="16" xfId="76" applyBorder="1" applyProtection="1">
      <alignment/>
      <protection locked="0"/>
    </xf>
    <xf numFmtId="3" fontId="4" fillId="0" borderId="16" xfId="76" applyNumberFormat="1" applyBorder="1">
      <alignment/>
      <protection/>
    </xf>
    <xf numFmtId="5" fontId="4" fillId="0" borderId="16" xfId="76" applyNumberFormat="1" applyBorder="1" applyProtection="1">
      <alignment/>
      <protection locked="0"/>
    </xf>
    <xf numFmtId="3" fontId="4" fillId="0" borderId="0" xfId="76" applyNumberFormat="1">
      <alignment/>
      <protection/>
    </xf>
    <xf numFmtId="0" fontId="4" fillId="0" borderId="0" xfId="76" applyBorder="1" applyAlignment="1" quotePrefix="1">
      <alignment horizontal="center"/>
      <protection/>
    </xf>
    <xf numFmtId="0" fontId="8" fillId="0" borderId="0" xfId="76" applyFont="1">
      <alignment/>
      <protection/>
    </xf>
    <xf numFmtId="0" fontId="11" fillId="0" borderId="16" xfId="76" applyFont="1" applyBorder="1" applyAlignment="1">
      <alignment wrapText="1"/>
      <protection/>
    </xf>
    <xf numFmtId="3" fontId="4" fillId="33" borderId="16" xfId="76" applyNumberFormat="1" applyFill="1" applyBorder="1">
      <alignment/>
      <protection/>
    </xf>
    <xf numFmtId="0" fontId="4" fillId="33" borderId="16" xfId="76" applyFill="1" applyBorder="1">
      <alignment/>
      <protection/>
    </xf>
    <xf numFmtId="5" fontId="4" fillId="33" borderId="16" xfId="76" applyNumberFormat="1" applyFill="1" applyBorder="1">
      <alignment/>
      <protection/>
    </xf>
    <xf numFmtId="0" fontId="4" fillId="0" borderId="22" xfId="76" applyBorder="1" applyAlignment="1">
      <alignment horizontal="center"/>
      <protection/>
    </xf>
    <xf numFmtId="0" fontId="4" fillId="0" borderId="30" xfId="76" applyFont="1" applyBorder="1">
      <alignment/>
      <protection/>
    </xf>
    <xf numFmtId="3" fontId="4" fillId="0" borderId="30" xfId="76" applyNumberFormat="1" applyBorder="1">
      <alignment/>
      <protection/>
    </xf>
    <xf numFmtId="5" fontId="4" fillId="0" borderId="30" xfId="76" applyNumberFormat="1" applyBorder="1">
      <alignment/>
      <protection/>
    </xf>
    <xf numFmtId="5" fontId="4" fillId="0" borderId="32" xfId="76" applyNumberFormat="1" applyBorder="1">
      <alignment/>
      <protection/>
    </xf>
    <xf numFmtId="3" fontId="4" fillId="0" borderId="0" xfId="76" applyNumberFormat="1" applyBorder="1">
      <alignment/>
      <protection/>
    </xf>
    <xf numFmtId="0" fontId="4" fillId="0" borderId="0" xfId="77">
      <alignment/>
      <protection/>
    </xf>
    <xf numFmtId="0" fontId="4" fillId="0" borderId="0" xfId="77" applyAlignment="1">
      <alignment horizontal="right"/>
      <protection/>
    </xf>
    <xf numFmtId="0" fontId="4" fillId="0" borderId="15" xfId="77" applyBorder="1" applyAlignment="1">
      <alignment horizontal="left"/>
      <protection/>
    </xf>
    <xf numFmtId="0" fontId="4" fillId="0" borderId="0" xfId="77" applyBorder="1" applyAlignment="1">
      <alignment horizontal="left"/>
      <protection/>
    </xf>
    <xf numFmtId="0" fontId="4" fillId="0" borderId="0" xfId="77" applyAlignment="1">
      <alignment horizontal="centerContinuous"/>
      <protection/>
    </xf>
    <xf numFmtId="0" fontId="4" fillId="0" borderId="10" xfId="77" applyBorder="1" applyAlignment="1">
      <alignment horizontal="center" vertical="center" wrapText="1"/>
      <protection/>
    </xf>
    <xf numFmtId="0" fontId="4" fillId="0" borderId="12" xfId="77" applyBorder="1" applyAlignment="1" quotePrefix="1">
      <alignment horizontal="center" vertical="center" wrapText="1"/>
      <protection/>
    </xf>
    <xf numFmtId="0" fontId="4" fillId="0" borderId="33" xfId="77" applyBorder="1" applyAlignment="1" quotePrefix="1">
      <alignment horizontal="center" vertical="center" wrapText="1"/>
      <protection/>
    </xf>
    <xf numFmtId="0" fontId="4" fillId="0" borderId="33" xfId="77" applyBorder="1" applyAlignment="1">
      <alignment horizontal="center" vertical="center" wrapText="1"/>
      <protection/>
    </xf>
    <xf numFmtId="0" fontId="4" fillId="0" borderId="33" xfId="77" applyFont="1" applyBorder="1" applyAlignment="1" quotePrefix="1">
      <alignment horizontal="center" vertical="center" wrapText="1"/>
      <protection/>
    </xf>
    <xf numFmtId="0" fontId="4" fillId="0" borderId="36" xfId="77" applyBorder="1" applyAlignment="1" quotePrefix="1">
      <alignment horizontal="center" vertical="center" wrapText="1"/>
      <protection/>
    </xf>
    <xf numFmtId="14" fontId="4" fillId="0" borderId="0" xfId="77" applyNumberFormat="1">
      <alignment/>
      <protection/>
    </xf>
    <xf numFmtId="0" fontId="4" fillId="0" borderId="14" xfId="77" applyBorder="1">
      <alignment/>
      <protection/>
    </xf>
    <xf numFmtId="0" fontId="4" fillId="0" borderId="16" xfId="77" applyBorder="1">
      <alignment/>
      <protection/>
    </xf>
    <xf numFmtId="0" fontId="4" fillId="0" borderId="16" xfId="77" applyBorder="1" applyAlignment="1" quotePrefix="1">
      <alignment horizontal="center"/>
      <protection/>
    </xf>
    <xf numFmtId="0" fontId="4" fillId="0" borderId="14" xfId="77" applyBorder="1" applyAlignment="1">
      <alignment horizontal="center"/>
      <protection/>
    </xf>
    <xf numFmtId="0" fontId="4" fillId="0" borderId="16" xfId="77" applyFont="1" applyBorder="1">
      <alignment/>
      <protection/>
    </xf>
    <xf numFmtId="0" fontId="4" fillId="0" borderId="16" xfId="77" applyBorder="1" applyProtection="1">
      <alignment/>
      <protection locked="0"/>
    </xf>
    <xf numFmtId="0" fontId="4" fillId="34" borderId="17" xfId="77" applyFill="1" applyBorder="1" applyProtection="1">
      <alignment/>
      <protection locked="0"/>
    </xf>
    <xf numFmtId="0" fontId="4" fillId="0" borderId="0" xfId="77" applyBorder="1" applyAlignment="1" quotePrefix="1">
      <alignment horizontal="center"/>
      <protection/>
    </xf>
    <xf numFmtId="0" fontId="8" fillId="0" borderId="0" xfId="77" applyFont="1">
      <alignment/>
      <protection/>
    </xf>
    <xf numFmtId="0" fontId="4" fillId="0" borderId="22" xfId="77" applyBorder="1" applyAlignment="1">
      <alignment horizontal="center"/>
      <protection/>
    </xf>
    <xf numFmtId="0" fontId="4" fillId="0" borderId="30" xfId="77" applyFont="1" applyBorder="1">
      <alignment/>
      <protection/>
    </xf>
    <xf numFmtId="0" fontId="4" fillId="0" borderId="30" xfId="77" applyBorder="1">
      <alignment/>
      <protection/>
    </xf>
    <xf numFmtId="0" fontId="4" fillId="33" borderId="25" xfId="77" applyFill="1" applyBorder="1">
      <alignment/>
      <protection/>
    </xf>
    <xf numFmtId="0" fontId="16" fillId="0" borderId="0" xfId="77" applyFont="1">
      <alignment/>
      <protection/>
    </xf>
    <xf numFmtId="0" fontId="11" fillId="0" borderId="0" xfId="77" applyFont="1" applyAlignment="1" quotePrefix="1">
      <alignment horizontal="right"/>
      <protection/>
    </xf>
    <xf numFmtId="0" fontId="11" fillId="0" borderId="0" xfId="77" applyFont="1">
      <alignment/>
      <protection/>
    </xf>
    <xf numFmtId="0" fontId="11" fillId="0" borderId="0" xfId="77" applyFont="1" applyAlignment="1" quotePrefix="1">
      <alignment horizontal="left"/>
      <protection/>
    </xf>
    <xf numFmtId="0" fontId="4" fillId="0" borderId="15" xfId="77" applyBorder="1" applyProtection="1">
      <alignment/>
      <protection locked="0"/>
    </xf>
    <xf numFmtId="0" fontId="4" fillId="0" borderId="76" xfId="77" applyBorder="1">
      <alignment/>
      <protection/>
    </xf>
    <xf numFmtId="0" fontId="16" fillId="0" borderId="0" xfId="77" applyFont="1" applyAlignment="1" quotePrefix="1">
      <alignment horizontal="left"/>
      <protection/>
    </xf>
    <xf numFmtId="14" fontId="4" fillId="0" borderId="76" xfId="77" applyNumberFormat="1" applyBorder="1">
      <alignment/>
      <protection/>
    </xf>
    <xf numFmtId="0" fontId="4" fillId="0" borderId="15" xfId="77" applyBorder="1">
      <alignment/>
      <protection/>
    </xf>
    <xf numFmtId="1" fontId="4" fillId="0" borderId="15" xfId="77" applyNumberFormat="1" applyBorder="1">
      <alignment/>
      <protection/>
    </xf>
    <xf numFmtId="9" fontId="4" fillId="0" borderId="15" xfId="85" applyFont="1" applyBorder="1" applyAlignment="1">
      <alignment horizontal="right"/>
    </xf>
    <xf numFmtId="0" fontId="4" fillId="0" borderId="13" xfId="77" applyBorder="1">
      <alignment/>
      <protection/>
    </xf>
    <xf numFmtId="0" fontId="4" fillId="0" borderId="22" xfId="77" applyBorder="1">
      <alignment/>
      <protection/>
    </xf>
    <xf numFmtId="0" fontId="4" fillId="0" borderId="23" xfId="77" applyBorder="1">
      <alignment/>
      <protection/>
    </xf>
    <xf numFmtId="0" fontId="4" fillId="0" borderId="25" xfId="77" applyBorder="1">
      <alignment/>
      <protection/>
    </xf>
    <xf numFmtId="0" fontId="4" fillId="0" borderId="0" xfId="78">
      <alignment/>
      <protection/>
    </xf>
    <xf numFmtId="0" fontId="4" fillId="0" borderId="0" xfId="78" applyAlignment="1" quotePrefix="1">
      <alignment horizontal="right"/>
      <protection/>
    </xf>
    <xf numFmtId="0" fontId="4" fillId="0" borderId="15" xfId="78" applyBorder="1" applyAlignment="1">
      <alignment horizontal="left"/>
      <protection/>
    </xf>
    <xf numFmtId="0" fontId="4" fillId="0" borderId="0" xfId="78" applyBorder="1" applyAlignment="1">
      <alignment horizontal="left"/>
      <protection/>
    </xf>
    <xf numFmtId="0" fontId="4" fillId="0" borderId="0" xfId="78" applyBorder="1" applyAlignment="1">
      <alignment horizontal="right"/>
      <protection/>
    </xf>
    <xf numFmtId="0" fontId="4" fillId="0" borderId="15" xfId="78" applyBorder="1">
      <alignment/>
      <protection/>
    </xf>
    <xf numFmtId="0" fontId="24" fillId="0" borderId="0" xfId="78" applyFont="1" applyAlignment="1">
      <alignment horizontal="centerContinuous"/>
      <protection/>
    </xf>
    <xf numFmtId="0" fontId="4" fillId="0" borderId="0" xfId="78" applyAlignment="1">
      <alignment horizontal="centerContinuous"/>
      <protection/>
    </xf>
    <xf numFmtId="0" fontId="4" fillId="0" borderId="0" xfId="78" applyAlignment="1" quotePrefix="1">
      <alignment horizontal="left"/>
      <protection/>
    </xf>
    <xf numFmtId="0" fontId="4" fillId="0" borderId="76" xfId="78" applyBorder="1">
      <alignment/>
      <protection/>
    </xf>
    <xf numFmtId="0" fontId="4" fillId="0" borderId="76" xfId="78" applyBorder="1" applyAlignment="1">
      <alignment horizontal="center"/>
      <protection/>
    </xf>
    <xf numFmtId="0" fontId="4" fillId="0" borderId="77" xfId="78" applyBorder="1" applyAlignment="1" quotePrefix="1">
      <alignment horizontal="center" vertical="center" wrapText="1"/>
      <protection/>
    </xf>
    <xf numFmtId="0" fontId="4" fillId="0" borderId="37" xfId="78" applyBorder="1" applyAlignment="1">
      <alignment horizontal="center" wrapText="1"/>
      <protection/>
    </xf>
    <xf numFmtId="0" fontId="4" fillId="0" borderId="51" xfId="78" applyBorder="1" applyAlignment="1">
      <alignment horizontal="center" vertical="center" wrapText="1"/>
      <protection/>
    </xf>
    <xf numFmtId="0" fontId="4" fillId="0" borderId="51" xfId="78" applyFont="1" applyBorder="1" applyAlignment="1">
      <alignment horizontal="center" vertical="center" wrapText="1"/>
      <protection/>
    </xf>
    <xf numFmtId="0" fontId="4" fillId="0" borderId="76" xfId="78" applyBorder="1" applyAlignment="1">
      <alignment horizontal="left"/>
      <protection/>
    </xf>
    <xf numFmtId="3" fontId="4" fillId="0" borderId="76" xfId="78" applyNumberFormat="1" applyBorder="1" applyAlignment="1">
      <alignment horizontal="right"/>
      <protection/>
    </xf>
    <xf numFmtId="0" fontId="4" fillId="0" borderId="78" xfId="78" applyBorder="1">
      <alignment/>
      <protection/>
    </xf>
    <xf numFmtId="0" fontId="4" fillId="0" borderId="32" xfId="78" applyBorder="1">
      <alignment/>
      <protection/>
    </xf>
    <xf numFmtId="0" fontId="4" fillId="0" borderId="32" xfId="78" applyBorder="1" applyAlignment="1" quotePrefix="1">
      <alignment horizontal="center"/>
      <protection/>
    </xf>
    <xf numFmtId="1" fontId="4" fillId="0" borderId="79" xfId="78" applyNumberFormat="1" applyBorder="1" applyAlignment="1" quotePrefix="1">
      <alignment horizontal="center"/>
      <protection/>
    </xf>
    <xf numFmtId="0" fontId="4" fillId="0" borderId="31" xfId="78" applyFont="1" applyBorder="1" applyAlignment="1">
      <alignment horizontal="center"/>
      <protection/>
    </xf>
    <xf numFmtId="38" fontId="4" fillId="0" borderId="31" xfId="78" applyNumberFormat="1" applyBorder="1">
      <alignment/>
      <protection/>
    </xf>
    <xf numFmtId="176" fontId="4" fillId="0" borderId="31" xfId="78" applyNumberFormat="1" applyBorder="1" applyAlignment="1">
      <alignment horizontal="right"/>
      <protection/>
    </xf>
    <xf numFmtId="0" fontId="4" fillId="0" borderId="79" xfId="78" applyBorder="1" applyAlignment="1" quotePrefix="1">
      <alignment horizontal="center"/>
      <protection/>
    </xf>
    <xf numFmtId="0" fontId="4" fillId="0" borderId="32" xfId="78" applyFont="1" applyBorder="1" applyAlignment="1">
      <alignment horizontal="center"/>
      <protection/>
    </xf>
    <xf numFmtId="38" fontId="4" fillId="0" borderId="32" xfId="78" applyNumberFormat="1" applyBorder="1">
      <alignment/>
      <protection/>
    </xf>
    <xf numFmtId="176" fontId="4" fillId="0" borderId="32" xfId="78" applyNumberFormat="1" applyBorder="1" applyAlignment="1">
      <alignment horizontal="right"/>
      <protection/>
    </xf>
    <xf numFmtId="0" fontId="4" fillId="0" borderId="0" xfId="78" applyFont="1" applyBorder="1">
      <alignment/>
      <protection/>
    </xf>
    <xf numFmtId="0" fontId="4" fillId="0" borderId="0" xfId="78" applyBorder="1">
      <alignment/>
      <protection/>
    </xf>
    <xf numFmtId="0" fontId="4" fillId="0" borderId="77" xfId="78" applyBorder="1" applyAlignment="1">
      <alignment horizontal="center" vertical="center" wrapText="1"/>
      <protection/>
    </xf>
    <xf numFmtId="0" fontId="4" fillId="0" borderId="0" xfId="78" applyAlignment="1">
      <alignment horizontal="left"/>
      <protection/>
    </xf>
    <xf numFmtId="0" fontId="4" fillId="0" borderId="0" xfId="78" applyProtection="1">
      <alignment/>
      <protection locked="0"/>
    </xf>
    <xf numFmtId="0" fontId="4" fillId="0" borderId="78" xfId="78" applyBorder="1" applyAlignment="1">
      <alignment horizontal="center"/>
      <protection/>
    </xf>
    <xf numFmtId="0" fontId="4" fillId="0" borderId="13" xfId="78" applyBorder="1" applyAlignment="1">
      <alignment horizontal="center"/>
      <protection/>
    </xf>
    <xf numFmtId="0" fontId="4" fillId="0" borderId="20" xfId="78" applyBorder="1" applyAlignment="1">
      <alignment horizontal="centerContinuous"/>
      <protection/>
    </xf>
    <xf numFmtId="176" fontId="4" fillId="0" borderId="17" xfId="78" applyNumberFormat="1" applyBorder="1" applyAlignment="1">
      <alignment horizontal="right"/>
      <protection/>
    </xf>
    <xf numFmtId="176" fontId="4" fillId="0" borderId="71" xfId="78" applyNumberFormat="1" applyBorder="1" applyAlignment="1">
      <alignment horizontal="right"/>
      <protection/>
    </xf>
    <xf numFmtId="0" fontId="4" fillId="0" borderId="0" xfId="78" applyFont="1" applyBorder="1">
      <alignment/>
      <protection/>
    </xf>
    <xf numFmtId="0" fontId="4" fillId="0" borderId="77" xfId="78" applyBorder="1" applyAlignment="1">
      <alignment horizontal="center" wrapText="1"/>
      <protection/>
    </xf>
    <xf numFmtId="0" fontId="4" fillId="0" borderId="37" xfId="78" applyFont="1" applyBorder="1" applyAlignment="1">
      <alignment horizontal="center" vertical="center" wrapText="1"/>
      <protection/>
    </xf>
    <xf numFmtId="0" fontId="4" fillId="0" borderId="80" xfId="78" applyBorder="1" applyAlignment="1">
      <alignment horizontal="center" vertical="top" wrapText="1"/>
      <protection/>
    </xf>
    <xf numFmtId="0" fontId="4" fillId="0" borderId="29" xfId="78" applyBorder="1" applyAlignment="1">
      <alignment horizontal="center" vertical="center" wrapText="1"/>
      <protection/>
    </xf>
    <xf numFmtId="0" fontId="4" fillId="0" borderId="81" xfId="78" applyBorder="1" applyAlignment="1" quotePrefix="1">
      <alignment horizontal="center"/>
      <protection/>
    </xf>
    <xf numFmtId="176" fontId="4" fillId="0" borderId="31" xfId="78" applyNumberFormat="1" applyBorder="1">
      <alignment/>
      <protection/>
    </xf>
    <xf numFmtId="185" fontId="4" fillId="0" borderId="82" xfId="78" applyNumberFormat="1" applyBorder="1" applyProtection="1">
      <alignment/>
      <protection/>
    </xf>
    <xf numFmtId="164" fontId="4" fillId="0" borderId="0" xfId="78" applyNumberFormat="1" applyAlignment="1">
      <alignment horizontal="centerContinuous"/>
      <protection/>
    </xf>
    <xf numFmtId="185" fontId="4" fillId="35" borderId="82" xfId="78" applyNumberFormat="1" applyFill="1" applyBorder="1" applyProtection="1">
      <alignment/>
      <protection/>
    </xf>
    <xf numFmtId="176" fontId="4" fillId="0" borderId="32" xfId="78" applyNumberFormat="1" applyBorder="1">
      <alignment/>
      <protection/>
    </xf>
    <xf numFmtId="0" fontId="4" fillId="0" borderId="0" xfId="78" applyBorder="1" applyAlignment="1" quotePrefix="1">
      <alignment horizontal="left"/>
      <protection/>
    </xf>
    <xf numFmtId="0" fontId="4" fillId="0" borderId="0" xfId="78" applyFont="1" applyBorder="1" applyAlignment="1">
      <alignment horizontal="center"/>
      <protection/>
    </xf>
    <xf numFmtId="0" fontId="4" fillId="0" borderId="0" xfId="78" applyBorder="1" applyAlignment="1" quotePrefix="1">
      <alignment horizontal="center"/>
      <protection/>
    </xf>
    <xf numFmtId="0" fontId="4" fillId="0" borderId="12" xfId="78" applyBorder="1" applyAlignment="1">
      <alignment horizontal="center" vertical="top" wrapText="1"/>
      <protection/>
    </xf>
    <xf numFmtId="0" fontId="4" fillId="0" borderId="11" xfId="78" applyBorder="1" applyAlignment="1">
      <alignment horizontal="center" vertical="center" wrapText="1"/>
      <protection/>
    </xf>
    <xf numFmtId="0" fontId="4" fillId="0" borderId="11" xfId="78" applyFont="1" applyBorder="1" applyAlignment="1">
      <alignment horizontal="center" vertical="center" wrapText="1"/>
      <protection/>
    </xf>
    <xf numFmtId="0" fontId="4" fillId="0" borderId="11" xfId="78" applyBorder="1" applyAlignment="1" quotePrefix="1">
      <alignment horizontal="center" vertical="center" wrapText="1"/>
      <protection/>
    </xf>
    <xf numFmtId="0" fontId="4" fillId="0" borderId="13" xfId="78" applyFont="1" applyBorder="1" applyAlignment="1" quotePrefix="1">
      <alignment horizontal="center" vertical="center" wrapText="1"/>
      <protection/>
    </xf>
    <xf numFmtId="0" fontId="4" fillId="0" borderId="0" xfId="78" applyBorder="1" applyAlignment="1">
      <alignment horizontal="centerContinuous"/>
      <protection/>
    </xf>
    <xf numFmtId="0" fontId="4" fillId="0" borderId="30" xfId="78" applyBorder="1">
      <alignment/>
      <protection/>
    </xf>
    <xf numFmtId="0" fontId="4" fillId="0" borderId="23" xfId="78" applyBorder="1" applyAlignment="1" quotePrefix="1">
      <alignment horizontal="center"/>
      <protection/>
    </xf>
    <xf numFmtId="0" fontId="4" fillId="0" borderId="25" xfId="78" applyBorder="1" applyAlignment="1" quotePrefix="1">
      <alignment horizontal="center"/>
      <protection/>
    </xf>
    <xf numFmtId="0" fontId="4" fillId="0" borderId="25" xfId="78" applyBorder="1" applyAlignment="1">
      <alignment horizontal="left"/>
      <protection/>
    </xf>
    <xf numFmtId="0" fontId="4" fillId="0" borderId="16" xfId="78" applyFont="1" applyBorder="1" applyAlignment="1">
      <alignment horizontal="left"/>
      <protection/>
    </xf>
    <xf numFmtId="0" fontId="4" fillId="0" borderId="17" xfId="78" applyBorder="1">
      <alignment/>
      <protection/>
    </xf>
    <xf numFmtId="38" fontId="4" fillId="0" borderId="17" xfId="78" applyNumberFormat="1" applyBorder="1" applyAlignment="1">
      <alignment horizontal="right"/>
      <protection/>
    </xf>
    <xf numFmtId="6" fontId="4" fillId="0" borderId="17" xfId="78" applyNumberFormat="1" applyBorder="1" applyAlignment="1">
      <alignment horizontal="right"/>
      <protection/>
    </xf>
    <xf numFmtId="0" fontId="4" fillId="0" borderId="30" xfId="78" applyFont="1" applyBorder="1" applyAlignment="1" quotePrefix="1">
      <alignment horizontal="left"/>
      <protection/>
    </xf>
    <xf numFmtId="0" fontId="4" fillId="0" borderId="23" xfId="78" applyBorder="1">
      <alignment/>
      <protection/>
    </xf>
    <xf numFmtId="0" fontId="4" fillId="0" borderId="25" xfId="78" applyBorder="1">
      <alignment/>
      <protection/>
    </xf>
    <xf numFmtId="6" fontId="4" fillId="0" borderId="25" xfId="78" applyNumberFormat="1" applyBorder="1" applyAlignment="1">
      <alignment horizontal="right"/>
      <protection/>
    </xf>
    <xf numFmtId="0" fontId="4" fillId="0" borderId="0" xfId="78" applyBorder="1" applyAlignment="1">
      <alignment horizontal="center"/>
      <protection/>
    </xf>
    <xf numFmtId="0" fontId="4" fillId="0" borderId="0" xfId="79">
      <alignment/>
      <protection/>
    </xf>
    <xf numFmtId="0" fontId="4" fillId="0" borderId="0" xfId="79" applyBorder="1">
      <alignment/>
      <protection/>
    </xf>
    <xf numFmtId="0" fontId="4" fillId="0" borderId="0" xfId="79" applyBorder="1" applyAlignment="1">
      <alignment horizontal="left"/>
      <protection/>
    </xf>
    <xf numFmtId="0" fontId="17" fillId="0" borderId="0" xfId="79" applyFont="1" applyAlignment="1">
      <alignment horizontal="centerContinuous"/>
      <protection/>
    </xf>
    <xf numFmtId="0" fontId="17" fillId="0" borderId="0" xfId="79" applyFont="1" applyAlignment="1" quotePrefix="1">
      <alignment horizontal="left"/>
      <protection/>
    </xf>
    <xf numFmtId="0" fontId="17" fillId="0" borderId="0" xfId="79" applyFont="1" applyAlignment="1">
      <alignment horizontal="left"/>
      <protection/>
    </xf>
    <xf numFmtId="0" fontId="4" fillId="0" borderId="11" xfId="79" applyBorder="1" applyAlignment="1" quotePrefix="1">
      <alignment horizontal="left"/>
      <protection/>
    </xf>
    <xf numFmtId="0" fontId="4" fillId="0" borderId="11" xfId="79" applyFont="1" applyBorder="1" applyAlignment="1">
      <alignment vertical="center" wrapText="1"/>
      <protection/>
    </xf>
    <xf numFmtId="0" fontId="4" fillId="0" borderId="11" xfId="79" applyFont="1" applyBorder="1" applyAlignment="1">
      <alignment horizontal="centerContinuous" vertical="center" wrapText="1"/>
      <protection/>
    </xf>
    <xf numFmtId="0" fontId="4" fillId="0" borderId="11" xfId="79" applyFont="1" applyBorder="1" applyAlignment="1">
      <alignment horizontal="center" wrapText="1"/>
      <protection/>
    </xf>
    <xf numFmtId="0" fontId="4" fillId="0" borderId="34" xfId="79" applyFont="1" applyBorder="1" applyAlignment="1">
      <alignment horizontal="centerContinuous" vertical="center" wrapText="1"/>
      <protection/>
    </xf>
    <xf numFmtId="0" fontId="4" fillId="0" borderId="36" xfId="79" applyFont="1" applyBorder="1" applyAlignment="1">
      <alignment horizontal="center" wrapText="1"/>
      <protection/>
    </xf>
    <xf numFmtId="0" fontId="4" fillId="0" borderId="0" xfId="79" applyBorder="1" applyAlignment="1" quotePrefix="1">
      <alignment horizontal="left" vertical="center"/>
      <protection/>
    </xf>
    <xf numFmtId="0" fontId="4" fillId="0" borderId="0" xfId="79" applyBorder="1" applyAlignment="1">
      <alignment horizontal="centerContinuous" vertical="center" wrapText="1"/>
      <protection/>
    </xf>
    <xf numFmtId="0" fontId="4" fillId="0" borderId="0" xfId="79" applyAlignment="1" applyProtection="1" quotePrefix="1">
      <alignment horizontal="center"/>
      <protection locked="0"/>
    </xf>
    <xf numFmtId="0" fontId="4" fillId="0" borderId="0" xfId="79" applyAlignment="1" applyProtection="1">
      <alignment horizontal="center"/>
      <protection locked="0"/>
    </xf>
    <xf numFmtId="0" fontId="15" fillId="0" borderId="0" xfId="79" applyFont="1" applyBorder="1" applyAlignment="1" applyProtection="1">
      <alignment horizontal="centerContinuous" vertical="center" wrapText="1"/>
      <protection locked="0"/>
    </xf>
    <xf numFmtId="0" fontId="14" fillId="0" borderId="0" xfId="79" applyFont="1" applyBorder="1" applyAlignment="1" applyProtection="1">
      <alignment horizontal="center" vertical="center"/>
      <protection locked="0"/>
    </xf>
    <xf numFmtId="0" fontId="4" fillId="0" borderId="15" xfId="79" applyBorder="1" applyProtection="1">
      <alignment/>
      <protection locked="0"/>
    </xf>
    <xf numFmtId="0" fontId="11" fillId="0" borderId="17" xfId="79" applyFont="1" applyBorder="1" applyAlignment="1" applyProtection="1" quotePrefix="1">
      <alignment horizontal="center" vertical="center" wrapText="1"/>
      <protection locked="0"/>
    </xf>
    <xf numFmtId="0" fontId="4" fillId="0" borderId="14" xfId="79" applyBorder="1" applyAlignment="1">
      <alignment horizontal="center"/>
      <protection/>
    </xf>
    <xf numFmtId="0" fontId="4" fillId="0" borderId="15" xfId="79" applyBorder="1" applyAlignment="1">
      <alignment horizontal="center"/>
      <protection/>
    </xf>
    <xf numFmtId="0" fontId="4" fillId="0" borderId="15" xfId="79" applyBorder="1">
      <alignment/>
      <protection/>
    </xf>
    <xf numFmtId="38" fontId="4" fillId="0" borderId="15" xfId="79" applyNumberFormat="1" applyBorder="1">
      <alignment/>
      <protection/>
    </xf>
    <xf numFmtId="38" fontId="4" fillId="0" borderId="17" xfId="79" applyNumberFormat="1" applyBorder="1">
      <alignment/>
      <protection/>
    </xf>
    <xf numFmtId="0" fontId="4" fillId="0" borderId="0" xfId="79" applyBorder="1" applyAlignment="1">
      <alignment horizontal="center"/>
      <protection/>
    </xf>
    <xf numFmtId="38" fontId="4" fillId="0" borderId="0" xfId="79" applyNumberFormat="1" applyBorder="1">
      <alignment/>
      <protection/>
    </xf>
    <xf numFmtId="38" fontId="4" fillId="0" borderId="20" xfId="79" applyNumberFormat="1" applyBorder="1">
      <alignment/>
      <protection/>
    </xf>
    <xf numFmtId="0" fontId="4" fillId="0" borderId="15" xfId="79" applyBorder="1" applyAlignment="1" quotePrefix="1">
      <alignment horizontal="left"/>
      <protection/>
    </xf>
    <xf numFmtId="0" fontId="8" fillId="0" borderId="0" xfId="79" applyFont="1" applyBorder="1">
      <alignment/>
      <protection/>
    </xf>
    <xf numFmtId="0" fontId="8" fillId="0" borderId="19" xfId="79" applyFont="1" applyBorder="1">
      <alignment/>
      <protection/>
    </xf>
    <xf numFmtId="0" fontId="8" fillId="0" borderId="0" xfId="79" applyFont="1" applyBorder="1" applyAlignment="1">
      <alignment horizontal="center"/>
      <protection/>
    </xf>
    <xf numFmtId="38" fontId="8" fillId="0" borderId="0" xfId="79" applyNumberFormat="1" applyFont="1" applyBorder="1">
      <alignment/>
      <protection/>
    </xf>
    <xf numFmtId="38" fontId="8" fillId="0" borderId="19" xfId="79" applyNumberFormat="1" applyFont="1" applyBorder="1" applyAlignment="1" quotePrefix="1">
      <alignment horizontal="left"/>
      <protection/>
    </xf>
    <xf numFmtId="38" fontId="8" fillId="0" borderId="29" xfId="79" applyNumberFormat="1" applyFont="1" applyBorder="1">
      <alignment/>
      <protection/>
    </xf>
    <xf numFmtId="0" fontId="4" fillId="0" borderId="15" xfId="79" applyFont="1" applyBorder="1">
      <alignment/>
      <protection/>
    </xf>
    <xf numFmtId="0" fontId="4" fillId="0" borderId="16" xfId="79" applyFont="1" applyBorder="1" applyProtection="1">
      <alignment/>
      <protection locked="0"/>
    </xf>
    <xf numFmtId="0" fontId="4" fillId="0" borderId="15" xfId="79" applyFont="1" applyBorder="1" applyAlignment="1">
      <alignment horizontal="center"/>
      <protection/>
    </xf>
    <xf numFmtId="38" fontId="4" fillId="0" borderId="15" xfId="79" applyNumberFormat="1" applyFont="1" applyBorder="1">
      <alignment/>
      <protection/>
    </xf>
    <xf numFmtId="2" fontId="4" fillId="0" borderId="16" xfId="79" applyNumberFormat="1" applyFont="1" applyBorder="1" applyAlignment="1" applyProtection="1" quotePrefix="1">
      <alignment horizontal="left"/>
      <protection locked="0"/>
    </xf>
    <xf numFmtId="14" fontId="4" fillId="0" borderId="31" xfId="79" applyNumberFormat="1" applyFont="1" applyBorder="1" applyAlignment="1" applyProtection="1">
      <alignment horizontal="center"/>
      <protection locked="0"/>
    </xf>
    <xf numFmtId="0" fontId="4" fillId="0" borderId="23" xfId="79" applyFont="1" applyBorder="1">
      <alignment/>
      <protection/>
    </xf>
    <xf numFmtId="0" fontId="4" fillId="0" borderId="30" xfId="79" applyFont="1" applyBorder="1" applyProtection="1">
      <alignment/>
      <protection locked="0"/>
    </xf>
    <xf numFmtId="0" fontId="4" fillId="0" borderId="23" xfId="79" applyFont="1" applyBorder="1" applyAlignment="1">
      <alignment horizontal="center"/>
      <protection/>
    </xf>
    <xf numFmtId="38" fontId="4" fillId="0" borderId="23" xfId="79" applyNumberFormat="1" applyFont="1" applyBorder="1">
      <alignment/>
      <protection/>
    </xf>
    <xf numFmtId="2" fontId="4" fillId="0" borderId="30" xfId="79" applyNumberFormat="1" applyFont="1" applyBorder="1" applyAlignment="1" applyProtection="1" quotePrefix="1">
      <alignment horizontal="left"/>
      <protection locked="0"/>
    </xf>
    <xf numFmtId="14" fontId="4" fillId="0" borderId="32" xfId="79" applyNumberFormat="1" applyFont="1" applyBorder="1" applyAlignment="1" applyProtection="1">
      <alignment horizontal="center"/>
      <protection locked="0"/>
    </xf>
    <xf numFmtId="0" fontId="4" fillId="0" borderId="34" xfId="79" applyFont="1" applyBorder="1" applyAlignment="1" applyProtection="1" quotePrefix="1">
      <alignment horizontal="left"/>
      <protection locked="0"/>
    </xf>
    <xf numFmtId="0" fontId="4" fillId="0" borderId="20" xfId="79" applyBorder="1" applyAlignment="1" applyProtection="1">
      <alignment horizontal="center"/>
      <protection locked="0"/>
    </xf>
    <xf numFmtId="0" fontId="4" fillId="0" borderId="0" xfId="79" applyBorder="1" applyAlignment="1" applyProtection="1" quotePrefix="1">
      <alignment horizontal="center"/>
      <protection locked="0"/>
    </xf>
    <xf numFmtId="0" fontId="14" fillId="0" borderId="0" xfId="79" applyFont="1" applyBorder="1" applyAlignment="1" applyProtection="1">
      <alignment horizontal="centerContinuous" vertical="center" wrapText="1"/>
      <protection locked="0"/>
    </xf>
    <xf numFmtId="0" fontId="4" fillId="0" borderId="23" xfId="79" applyBorder="1">
      <alignment/>
      <protection/>
    </xf>
    <xf numFmtId="0" fontId="4" fillId="0" borderId="23" xfId="79" applyBorder="1" applyAlignment="1">
      <alignment horizontal="center"/>
      <protection/>
    </xf>
    <xf numFmtId="38" fontId="4" fillId="0" borderId="23" xfId="79" applyNumberFormat="1" applyBorder="1">
      <alignment/>
      <protection/>
    </xf>
    <xf numFmtId="0" fontId="4" fillId="0" borderId="34" xfId="79" applyFont="1" applyBorder="1" applyAlignment="1" applyProtection="1">
      <alignment horizontal="left"/>
      <protection locked="0"/>
    </xf>
    <xf numFmtId="0" fontId="4" fillId="0" borderId="0" xfId="80" applyBorder="1" applyAlignment="1" quotePrefix="1">
      <alignment horizontal="right"/>
      <protection/>
    </xf>
    <xf numFmtId="0" fontId="4" fillId="0" borderId="0" xfId="81">
      <alignment/>
      <protection/>
    </xf>
    <xf numFmtId="0" fontId="4" fillId="0" borderId="0" xfId="81" applyAlignment="1">
      <alignment horizontal="right"/>
      <protection/>
    </xf>
    <xf numFmtId="0" fontId="4" fillId="0" borderId="15" xfId="81" applyBorder="1" applyAlignment="1">
      <alignment horizontal="left"/>
      <protection/>
    </xf>
    <xf numFmtId="0" fontId="4" fillId="0" borderId="0" xfId="81" applyBorder="1">
      <alignment/>
      <protection/>
    </xf>
    <xf numFmtId="0" fontId="4" fillId="0" borderId="0" xfId="81" applyBorder="1" applyAlignment="1" quotePrefix="1">
      <alignment horizontal="right"/>
      <protection/>
    </xf>
    <xf numFmtId="0" fontId="4" fillId="0" borderId="10" xfId="81" applyBorder="1" applyAlignment="1" quotePrefix="1">
      <alignment horizontal="center" vertical="center" wrapText="1"/>
      <protection/>
    </xf>
    <xf numFmtId="0" fontId="4" fillId="0" borderId="39" xfId="81" applyBorder="1" applyAlignment="1" quotePrefix="1">
      <alignment horizontal="center" vertical="center" wrapText="1"/>
      <protection/>
    </xf>
    <xf numFmtId="0" fontId="4" fillId="0" borderId="52" xfId="81" applyBorder="1" applyAlignment="1">
      <alignment horizontal="center"/>
      <protection/>
    </xf>
    <xf numFmtId="0" fontId="4" fillId="0" borderId="18" xfId="81" applyBorder="1" applyAlignment="1">
      <alignment horizontal="center" vertical="center" wrapText="1"/>
      <protection/>
    </xf>
    <xf numFmtId="0" fontId="4" fillId="0" borderId="48" xfId="81" applyBorder="1" applyAlignment="1" quotePrefix="1">
      <alignment horizontal="center" vertical="center" wrapText="1"/>
      <protection/>
    </xf>
    <xf numFmtId="0" fontId="4" fillId="0" borderId="48" xfId="81" applyBorder="1" applyAlignment="1">
      <alignment horizontal="center" vertical="center" wrapText="1"/>
      <protection/>
    </xf>
    <xf numFmtId="0" fontId="4" fillId="0" borderId="19" xfId="81" applyBorder="1" applyAlignment="1">
      <alignment horizontal="center" wrapText="1"/>
      <protection/>
    </xf>
    <xf numFmtId="0" fontId="11" fillId="0" borderId="19" xfId="81" applyFont="1" applyBorder="1" applyAlignment="1" quotePrefix="1">
      <alignment horizontal="center" wrapText="1"/>
      <protection/>
    </xf>
    <xf numFmtId="0" fontId="4" fillId="0" borderId="14" xfId="81" applyBorder="1">
      <alignment/>
      <protection/>
    </xf>
    <xf numFmtId="0" fontId="4" fillId="0" borderId="16" xfId="81" applyBorder="1" applyAlignment="1" quotePrefix="1">
      <alignment horizontal="center"/>
      <protection/>
    </xf>
    <xf numFmtId="0" fontId="4" fillId="0" borderId="14" xfId="81" applyBorder="1" applyAlignment="1" quotePrefix="1">
      <alignment horizontal="center" vertical="center"/>
      <protection/>
    </xf>
    <xf numFmtId="0" fontId="4" fillId="0" borderId="40" xfId="81" applyFont="1" applyBorder="1" applyAlignment="1">
      <alignment horizontal="center" vertical="center"/>
      <protection/>
    </xf>
    <xf numFmtId="4" fontId="4" fillId="0" borderId="15" xfId="81" applyNumberFormat="1" applyFont="1" applyBorder="1" applyAlignment="1" applyProtection="1">
      <alignment horizontal="center"/>
      <protection locked="0"/>
    </xf>
    <xf numFmtId="3" fontId="4" fillId="0" borderId="16" xfId="81" applyNumberFormat="1" applyBorder="1" applyProtection="1">
      <alignment/>
      <protection locked="0"/>
    </xf>
    <xf numFmtId="3" fontId="4" fillId="0" borderId="16" xfId="81" applyNumberFormat="1" applyBorder="1">
      <alignment/>
      <protection/>
    </xf>
    <xf numFmtId="0" fontId="4" fillId="0" borderId="40" xfId="81" applyFont="1" applyBorder="1" applyAlignment="1" quotePrefix="1">
      <alignment horizontal="center" vertical="center"/>
      <protection/>
    </xf>
    <xf numFmtId="4" fontId="4" fillId="0" borderId="15" xfId="81" applyNumberFormat="1" applyFont="1" applyBorder="1" applyAlignment="1" applyProtection="1">
      <alignment horizontal="center"/>
      <protection locked="0"/>
    </xf>
    <xf numFmtId="3" fontId="4" fillId="34" borderId="16" xfId="81" applyNumberFormat="1" applyFill="1" applyBorder="1" applyProtection="1">
      <alignment/>
      <protection locked="0"/>
    </xf>
    <xf numFmtId="0" fontId="4" fillId="0" borderId="22" xfId="81" applyBorder="1" applyAlignment="1" quotePrefix="1">
      <alignment horizontal="center" vertical="center"/>
      <protection/>
    </xf>
    <xf numFmtId="0" fontId="4" fillId="0" borderId="50" xfId="81" applyFont="1" applyBorder="1" applyAlignment="1">
      <alignment horizontal="center" vertical="center"/>
      <protection/>
    </xf>
    <xf numFmtId="4" fontId="4" fillId="0" borderId="23" xfId="81" applyNumberFormat="1" applyFont="1" applyBorder="1" applyAlignment="1" applyProtection="1">
      <alignment horizontal="center"/>
      <protection locked="0"/>
    </xf>
    <xf numFmtId="3" fontId="4" fillId="0" borderId="30" xfId="81" applyNumberFormat="1" applyBorder="1" applyProtection="1">
      <alignment/>
      <protection locked="0"/>
    </xf>
    <xf numFmtId="3" fontId="4" fillId="0" borderId="30" xfId="81" applyNumberFormat="1" applyBorder="1">
      <alignment/>
      <protection/>
    </xf>
    <xf numFmtId="0" fontId="4" fillId="0" borderId="0" xfId="81" applyAlignment="1">
      <alignment vertical="center"/>
      <protection/>
    </xf>
    <xf numFmtId="0" fontId="4" fillId="0" borderId="83" xfId="81" applyBorder="1" applyAlignment="1" quotePrefix="1">
      <alignment horizontal="center" vertical="center"/>
      <protection/>
    </xf>
    <xf numFmtId="0" fontId="4" fillId="0" borderId="46" xfId="81" applyFont="1" applyBorder="1" applyAlignment="1">
      <alignment horizontal="center" vertical="center"/>
      <protection/>
    </xf>
    <xf numFmtId="0" fontId="4" fillId="33" borderId="45" xfId="81" applyFont="1" applyFill="1" applyBorder="1" applyAlignment="1">
      <alignment horizontal="center"/>
      <protection/>
    </xf>
    <xf numFmtId="3" fontId="4" fillId="0" borderId="44" xfId="81" applyNumberFormat="1" applyBorder="1">
      <alignment/>
      <protection/>
    </xf>
    <xf numFmtId="0" fontId="4" fillId="0" borderId="0" xfId="81" applyBorder="1" applyAlignment="1" quotePrefix="1">
      <alignment horizontal="center"/>
      <protection/>
    </xf>
    <xf numFmtId="0" fontId="0" fillId="36" borderId="84" xfId="0" applyFill="1" applyBorder="1" applyAlignment="1">
      <alignment horizontal="centerContinuous" vertical="center"/>
    </xf>
    <xf numFmtId="0" fontId="0" fillId="36" borderId="85" xfId="0" applyFill="1" applyBorder="1" applyAlignment="1">
      <alignment horizontal="centerContinuous" vertical="center"/>
    </xf>
    <xf numFmtId="0" fontId="0" fillId="36" borderId="86" xfId="0" applyFill="1" applyBorder="1" applyAlignment="1">
      <alignment horizontal="center" vertical="center"/>
    </xf>
    <xf numFmtId="0" fontId="0" fillId="36" borderId="87" xfId="0" applyFill="1" applyBorder="1" applyAlignment="1">
      <alignment horizontal="center" vertical="center"/>
    </xf>
    <xf numFmtId="0" fontId="0" fillId="36" borderId="88" xfId="0" applyFill="1" applyBorder="1" applyAlignment="1">
      <alignment horizontal="center" vertical="center"/>
    </xf>
    <xf numFmtId="0" fontId="0" fillId="36" borderId="89" xfId="0" applyFill="1" applyBorder="1" applyAlignment="1">
      <alignment horizontal="center" vertical="center"/>
    </xf>
    <xf numFmtId="0" fontId="0" fillId="36" borderId="88" xfId="0" applyFill="1" applyBorder="1" applyAlignment="1" quotePrefix="1">
      <alignment horizontal="center" vertical="center"/>
    </xf>
    <xf numFmtId="0" fontId="0" fillId="36" borderId="90" xfId="0" applyFill="1" applyBorder="1" applyAlignment="1">
      <alignment horizontal="center" vertical="center"/>
    </xf>
    <xf numFmtId="0" fontId="0" fillId="36" borderId="91" xfId="0" applyFill="1" applyBorder="1" applyAlignment="1">
      <alignment horizontal="center" vertical="center"/>
    </xf>
    <xf numFmtId="0" fontId="26" fillId="36" borderId="89" xfId="0" applyFont="1" applyFill="1" applyBorder="1" applyAlignment="1">
      <alignment horizontal="center" vertical="center"/>
    </xf>
    <xf numFmtId="38" fontId="4" fillId="0" borderId="50" xfId="68" applyNumberFormat="1" applyBorder="1" applyAlignment="1">
      <alignment/>
      <protection/>
    </xf>
    <xf numFmtId="0" fontId="4" fillId="0" borderId="27" xfId="68" applyFont="1" applyBorder="1">
      <alignment/>
      <protection/>
    </xf>
    <xf numFmtId="0" fontId="4" fillId="0" borderId="23" xfId="68" applyFont="1" applyBorder="1">
      <alignment/>
      <protection/>
    </xf>
    <xf numFmtId="2" fontId="4" fillId="0" borderId="23" xfId="68" applyNumberFormat="1" applyFont="1" applyBorder="1" applyAlignment="1" quotePrefix="1">
      <alignment horizontal="left" wrapText="1"/>
      <protection/>
    </xf>
    <xf numFmtId="14" fontId="4" fillId="0" borderId="0" xfId="78" applyNumberFormat="1" applyFont="1" applyBorder="1" applyAlignment="1">
      <alignment horizontal="center"/>
      <protection/>
    </xf>
    <xf numFmtId="0" fontId="4" fillId="0" borderId="0" xfId="78" applyFont="1" applyBorder="1" applyAlignment="1" quotePrefix="1">
      <alignment horizontal="left"/>
      <protection/>
    </xf>
    <xf numFmtId="6" fontId="4" fillId="0" borderId="0" xfId="78" applyNumberFormat="1" applyBorder="1" applyAlignment="1">
      <alignment horizontal="right"/>
      <protection/>
    </xf>
    <xf numFmtId="0" fontId="4" fillId="0" borderId="0" xfId="78" applyFont="1" applyAlignment="1" quotePrefix="1">
      <alignment horizontal="left"/>
      <protection/>
    </xf>
    <xf numFmtId="14" fontId="4" fillId="0" borderId="15" xfId="64" applyNumberFormat="1" applyFont="1" applyBorder="1" applyAlignment="1" applyProtection="1">
      <alignment horizontal="left"/>
      <protection locked="0"/>
    </xf>
    <xf numFmtId="37" fontId="4" fillId="34" borderId="40" xfId="68" applyNumberFormat="1" applyFill="1" applyBorder="1" applyAlignment="1" applyProtection="1">
      <alignment horizontal="right"/>
      <protection locked="0"/>
    </xf>
    <xf numFmtId="0" fontId="4" fillId="34" borderId="40" xfId="68" applyFill="1" applyBorder="1" applyProtection="1">
      <alignment/>
      <protection locked="0"/>
    </xf>
    <xf numFmtId="189" fontId="4" fillId="0" borderId="15" xfId="65" applyNumberFormat="1" applyBorder="1" applyAlignment="1">
      <alignment horizontal="left"/>
      <protection/>
    </xf>
    <xf numFmtId="189" fontId="4" fillId="0" borderId="15" xfId="67" applyNumberFormat="1" applyBorder="1" applyAlignment="1">
      <alignment horizontal="left"/>
      <protection/>
    </xf>
    <xf numFmtId="189" fontId="4" fillId="0" borderId="15" xfId="68" applyNumberFormat="1" applyBorder="1" applyAlignment="1">
      <alignment horizontal="left"/>
      <protection/>
    </xf>
    <xf numFmtId="189" fontId="4" fillId="0" borderId="15" xfId="69" applyNumberFormat="1" applyBorder="1" applyAlignment="1">
      <alignment horizontal="left"/>
      <protection/>
    </xf>
    <xf numFmtId="189" fontId="4" fillId="0" borderId="15" xfId="73" applyNumberFormat="1" applyBorder="1" applyAlignment="1">
      <alignment horizontal="left"/>
      <protection/>
    </xf>
    <xf numFmtId="189" fontId="4" fillId="0" borderId="15" xfId="74" applyNumberFormat="1" applyBorder="1" applyAlignment="1">
      <alignment horizontal="left"/>
      <protection/>
    </xf>
    <xf numFmtId="189" fontId="4" fillId="0" borderId="15" xfId="76" applyNumberFormat="1" applyBorder="1" applyAlignment="1">
      <alignment horizontal="left"/>
      <protection/>
    </xf>
    <xf numFmtId="189" fontId="4" fillId="0" borderId="15" xfId="77" applyNumberFormat="1" applyBorder="1" applyAlignment="1">
      <alignment horizontal="left"/>
      <protection/>
    </xf>
    <xf numFmtId="189" fontId="4" fillId="0" borderId="15" xfId="78" applyNumberFormat="1" applyBorder="1" applyAlignment="1">
      <alignment horizontal="left"/>
      <protection/>
    </xf>
    <xf numFmtId="189" fontId="4" fillId="0" borderId="15" xfId="81" applyNumberFormat="1" applyBorder="1" applyAlignment="1">
      <alignment horizontal="left"/>
      <protection/>
    </xf>
    <xf numFmtId="189" fontId="4" fillId="0" borderId="10" xfId="77" applyNumberFormat="1" applyBorder="1">
      <alignment/>
      <protection/>
    </xf>
    <xf numFmtId="189" fontId="4" fillId="0" borderId="11" xfId="77" applyNumberFormat="1" applyBorder="1">
      <alignment/>
      <protection/>
    </xf>
    <xf numFmtId="0" fontId="4" fillId="0" borderId="61" xfId="77" applyBorder="1">
      <alignment/>
      <protection/>
    </xf>
    <xf numFmtId="0" fontId="4" fillId="0" borderId="0" xfId="76" applyFont="1">
      <alignment/>
      <protection/>
    </xf>
    <xf numFmtId="0" fontId="4" fillId="0" borderId="61" xfId="74" applyFont="1" applyBorder="1" applyAlignment="1">
      <alignment horizontal="left" wrapText="1"/>
      <protection/>
    </xf>
    <xf numFmtId="38" fontId="4" fillId="0" borderId="16" xfId="68" applyNumberFormat="1" applyBorder="1" applyAlignment="1" applyProtection="1">
      <alignment horizontal="right"/>
      <protection locked="0"/>
    </xf>
    <xf numFmtId="3" fontId="4" fillId="0" borderId="31" xfId="78" applyNumberFormat="1" applyBorder="1">
      <alignment/>
      <protection/>
    </xf>
    <xf numFmtId="3" fontId="4" fillId="0" borderId="32" xfId="78" applyNumberFormat="1" applyBorder="1">
      <alignment/>
      <protection/>
    </xf>
    <xf numFmtId="3" fontId="4" fillId="0" borderId="71" xfId="78" applyNumberFormat="1" applyBorder="1" applyAlignment="1">
      <alignment horizontal="center"/>
      <protection/>
    </xf>
    <xf numFmtId="5" fontId="4" fillId="0" borderId="71" xfId="78" applyNumberFormat="1" applyBorder="1" applyAlignment="1">
      <alignment horizontal="right"/>
      <protection/>
    </xf>
    <xf numFmtId="0" fontId="4" fillId="0" borderId="0" xfId="79" applyBorder="1" applyAlignment="1" applyProtection="1" quotePrefix="1">
      <alignment horizontal="center"/>
      <protection/>
    </xf>
    <xf numFmtId="0" fontId="15" fillId="0" borderId="0" xfId="79" applyFont="1" applyBorder="1" applyAlignment="1" applyProtection="1">
      <alignment horizontal="centerContinuous" vertical="center" wrapText="1"/>
      <protection/>
    </xf>
    <xf numFmtId="0" fontId="15" fillId="0" borderId="0" xfId="79" applyFont="1" applyBorder="1" applyAlignment="1" applyProtection="1">
      <alignment horizontal="center" vertical="center"/>
      <protection/>
    </xf>
    <xf numFmtId="0" fontId="4" fillId="0" borderId="0" xfId="79" applyFont="1" applyBorder="1" applyAlignment="1" applyProtection="1">
      <alignment horizontal="centerContinuous" vertical="center" wrapText="1"/>
      <protection/>
    </xf>
    <xf numFmtId="0" fontId="4" fillId="0" borderId="14" xfId="64" applyFont="1" applyBorder="1" applyProtection="1">
      <alignment/>
      <protection locked="0"/>
    </xf>
    <xf numFmtId="0" fontId="4" fillId="0" borderId="0" xfId="70" applyProtection="1">
      <alignment/>
      <protection locked="0"/>
    </xf>
    <xf numFmtId="0" fontId="4" fillId="0" borderId="0" xfId="70" applyAlignment="1" applyProtection="1">
      <alignment vertical="center"/>
      <protection locked="0"/>
    </xf>
    <xf numFmtId="0" fontId="8" fillId="0" borderId="0" xfId="70" applyFont="1" applyProtection="1">
      <alignment/>
      <protection locked="0"/>
    </xf>
    <xf numFmtId="0" fontId="4" fillId="0" borderId="0" xfId="70" applyFont="1" applyProtection="1">
      <alignment/>
      <protection locked="0"/>
    </xf>
    <xf numFmtId="0" fontId="4" fillId="0" borderId="0" xfId="70" applyFont="1" applyAlignment="1" applyProtection="1">
      <alignment vertical="center"/>
      <protection locked="0"/>
    </xf>
    <xf numFmtId="0" fontId="4" fillId="0" borderId="0" xfId="70" applyBorder="1" applyProtection="1">
      <alignment/>
      <protection locked="0"/>
    </xf>
    <xf numFmtId="38" fontId="4" fillId="0" borderId="0" xfId="70" applyNumberFormat="1" applyBorder="1" applyProtection="1">
      <alignment/>
      <protection locked="0"/>
    </xf>
    <xf numFmtId="0" fontId="4" fillId="0" borderId="0" xfId="72" applyProtection="1">
      <alignment/>
      <protection locked="0"/>
    </xf>
    <xf numFmtId="0" fontId="6" fillId="0" borderId="0" xfId="72" applyFont="1" applyAlignment="1" applyProtection="1">
      <alignment horizontal="centerContinuous"/>
      <protection locked="0"/>
    </xf>
    <xf numFmtId="0" fontId="19" fillId="0" borderId="0" xfId="72" applyFont="1" applyAlignment="1" applyProtection="1">
      <alignment horizontal="centerContinuous"/>
      <protection locked="0"/>
    </xf>
    <xf numFmtId="0" fontId="4" fillId="0" borderId="0" xfId="72" applyBorder="1" applyAlignment="1" applyProtection="1" quotePrefix="1">
      <alignment horizontal="center"/>
      <protection locked="0"/>
    </xf>
    <xf numFmtId="0" fontId="4" fillId="0" borderId="0" xfId="70" applyProtection="1">
      <alignment/>
      <protection/>
    </xf>
    <xf numFmtId="0" fontId="4" fillId="0" borderId="0" xfId="70" applyAlignment="1" applyProtection="1">
      <alignment horizontal="right"/>
      <protection/>
    </xf>
    <xf numFmtId="189" fontId="4" fillId="0" borderId="15" xfId="70" applyNumberFormat="1" applyBorder="1" applyAlignment="1" applyProtection="1">
      <alignment horizontal="center"/>
      <protection/>
    </xf>
    <xf numFmtId="0" fontId="4" fillId="0" borderId="15" xfId="70" applyBorder="1" applyAlignment="1" applyProtection="1">
      <alignment horizontal="center"/>
      <protection/>
    </xf>
    <xf numFmtId="0" fontId="4" fillId="0" borderId="0" xfId="72" applyAlignment="1" applyProtection="1">
      <alignment horizontal="right"/>
      <protection/>
    </xf>
    <xf numFmtId="189" fontId="4" fillId="0" borderId="15" xfId="72" applyNumberFormat="1" applyBorder="1" applyAlignment="1" applyProtection="1">
      <alignment horizontal="right"/>
      <protection/>
    </xf>
    <xf numFmtId="0" fontId="4" fillId="0" borderId="15" xfId="72" applyBorder="1" applyAlignment="1" applyProtection="1">
      <alignment horizontal="right"/>
      <protection/>
    </xf>
    <xf numFmtId="0" fontId="4" fillId="0" borderId="0" xfId="72" applyProtection="1">
      <alignment/>
      <protection/>
    </xf>
    <xf numFmtId="0" fontId="4" fillId="0" borderId="0" xfId="72" applyBorder="1" applyAlignment="1" applyProtection="1">
      <alignment horizontal="right"/>
      <protection/>
    </xf>
    <xf numFmtId="0" fontId="19" fillId="0" borderId="0" xfId="72" applyFont="1" applyAlignment="1" applyProtection="1">
      <alignment horizontal="centerContinuous"/>
      <protection/>
    </xf>
    <xf numFmtId="0" fontId="4" fillId="0" borderId="0" xfId="72" applyFont="1" applyProtection="1">
      <alignment/>
      <protection/>
    </xf>
    <xf numFmtId="0" fontId="4" fillId="0" borderId="0" xfId="72" applyBorder="1" applyAlignment="1" applyProtection="1">
      <alignment horizontal="left"/>
      <protection/>
    </xf>
    <xf numFmtId="0" fontId="4" fillId="0" borderId="0" xfId="72" applyBorder="1" applyProtection="1">
      <alignment/>
      <protection/>
    </xf>
    <xf numFmtId="0" fontId="4" fillId="0" borderId="92" xfId="72" applyBorder="1" applyProtection="1">
      <alignment/>
      <protection/>
    </xf>
    <xf numFmtId="0" fontId="0" fillId="0" borderId="71" xfId="0" applyBorder="1" applyAlignment="1" applyProtection="1">
      <alignment horizontal="centerContinuous" vertical="center"/>
      <protection/>
    </xf>
    <xf numFmtId="0" fontId="4" fillId="0" borderId="13" xfId="72" applyBorder="1" applyProtection="1">
      <alignment/>
      <protection/>
    </xf>
    <xf numFmtId="0" fontId="4" fillId="0" borderId="0" xfId="81" applyFont="1">
      <alignment/>
      <protection/>
    </xf>
    <xf numFmtId="0" fontId="20" fillId="0" borderId="15" xfId="68" applyFont="1" applyBorder="1" applyAlignment="1" applyProtection="1">
      <alignment horizontal="center"/>
      <protection locked="0"/>
    </xf>
    <xf numFmtId="0" fontId="16" fillId="0" borderId="22" xfId="68" applyFont="1" applyBorder="1" applyAlignment="1" applyProtection="1">
      <alignment horizontal="left"/>
      <protection locked="0"/>
    </xf>
    <xf numFmtId="0" fontId="4" fillId="0" borderId="34" xfId="68" applyBorder="1" applyAlignment="1" applyProtection="1">
      <alignment horizontal="left"/>
      <protection locked="0"/>
    </xf>
    <xf numFmtId="0" fontId="4" fillId="0" borderId="36" xfId="68" applyBorder="1" applyAlignment="1" applyProtection="1">
      <alignment horizontal="left"/>
      <protection locked="0"/>
    </xf>
    <xf numFmtId="0" fontId="4" fillId="0" borderId="14" xfId="68" applyBorder="1" applyAlignment="1" applyProtection="1">
      <alignment horizontal="left"/>
      <protection locked="0"/>
    </xf>
    <xf numFmtId="0" fontId="4" fillId="0" borderId="17" xfId="68" applyBorder="1" applyAlignment="1" applyProtection="1">
      <alignment horizontal="left"/>
      <protection locked="0"/>
    </xf>
    <xf numFmtId="0" fontId="4" fillId="0" borderId="23" xfId="68" applyBorder="1" applyAlignment="1" applyProtection="1">
      <alignment horizontal="left"/>
      <protection locked="0"/>
    </xf>
    <xf numFmtId="0" fontId="4" fillId="0" borderId="25" xfId="68" applyBorder="1" applyAlignment="1" applyProtection="1">
      <alignment horizontal="left"/>
      <protection locked="0"/>
    </xf>
    <xf numFmtId="0" fontId="4" fillId="0" borderId="15" xfId="68" applyBorder="1" applyAlignment="1" applyProtection="1">
      <alignment horizontal="left" wrapText="1"/>
      <protection locked="0"/>
    </xf>
    <xf numFmtId="0" fontId="4" fillId="0" borderId="21" xfId="81" applyFont="1" applyBorder="1" applyAlignment="1">
      <alignment horizontal="center" wrapText="1"/>
      <protection/>
    </xf>
    <xf numFmtId="0" fontId="4" fillId="0" borderId="19" xfId="81" applyFont="1" applyBorder="1" applyAlignment="1">
      <alignment horizontal="center" wrapText="1"/>
      <protection/>
    </xf>
    <xf numFmtId="0" fontId="4" fillId="0" borderId="52" xfId="81" applyFont="1" applyBorder="1" applyAlignment="1">
      <alignment horizontal="center"/>
      <protection/>
    </xf>
    <xf numFmtId="0" fontId="11" fillId="0" borderId="19" xfId="81" applyFont="1" applyBorder="1" applyAlignment="1">
      <alignment horizontal="center" wrapText="1"/>
      <protection/>
    </xf>
    <xf numFmtId="0" fontId="4" fillId="0" borderId="52" xfId="81" applyFont="1" applyBorder="1" applyAlignment="1">
      <alignment horizontal="center" wrapText="1"/>
      <protection/>
    </xf>
    <xf numFmtId="0" fontId="4" fillId="0" borderId="48" xfId="81" applyFont="1" applyBorder="1" applyAlignment="1">
      <alignment horizontal="center" wrapText="1"/>
      <protection/>
    </xf>
    <xf numFmtId="0" fontId="4" fillId="0" borderId="0" xfId="81" applyBorder="1" applyAlignment="1">
      <alignment horizontal="center" wrapText="1"/>
      <protection/>
    </xf>
    <xf numFmtId="0" fontId="4" fillId="34" borderId="16" xfId="68" applyFill="1" applyBorder="1">
      <alignment/>
      <protection/>
    </xf>
    <xf numFmtId="38" fontId="4" fillId="34" borderId="16" xfId="68" applyNumberFormat="1" applyFill="1" applyBorder="1" applyAlignment="1" applyProtection="1">
      <alignment/>
      <protection locked="0"/>
    </xf>
    <xf numFmtId="0" fontId="4" fillId="0" borderId="15" xfId="64" applyFont="1" applyBorder="1" applyAlignment="1" applyProtection="1">
      <alignment horizontal="centerContinuous"/>
      <protection locked="0"/>
    </xf>
    <xf numFmtId="0" fontId="4" fillId="0" borderId="15" xfId="64" applyBorder="1" applyAlignment="1">
      <alignment horizontal="centerContinuous"/>
      <protection/>
    </xf>
    <xf numFmtId="0" fontId="8" fillId="0" borderId="59" xfId="64" applyFont="1" applyBorder="1">
      <alignment/>
      <protection/>
    </xf>
    <xf numFmtId="0" fontId="4" fillId="0" borderId="38" xfId="64" applyBorder="1">
      <alignment/>
      <protection/>
    </xf>
    <xf numFmtId="0" fontId="4" fillId="0" borderId="0" xfId="77" applyBorder="1" applyProtection="1">
      <alignment/>
      <protection/>
    </xf>
    <xf numFmtId="9" fontId="4" fillId="0" borderId="63" xfId="71" applyNumberFormat="1" applyBorder="1" applyAlignment="1" applyProtection="1">
      <alignment horizontal="center"/>
      <protection locked="0"/>
    </xf>
    <xf numFmtId="9" fontId="4" fillId="0" borderId="65" xfId="71" applyNumberFormat="1" applyBorder="1" applyAlignment="1" applyProtection="1">
      <alignment horizontal="center"/>
      <protection/>
    </xf>
    <xf numFmtId="9" fontId="4" fillId="0" borderId="66" xfId="71" applyNumberFormat="1" applyBorder="1" applyAlignment="1" applyProtection="1">
      <alignment horizontal="center"/>
      <protection locked="0"/>
    </xf>
    <xf numFmtId="0" fontId="13" fillId="0" borderId="18" xfId="64" applyFont="1" applyBorder="1" applyProtection="1">
      <alignment/>
      <protection/>
    </xf>
    <xf numFmtId="0" fontId="4" fillId="0" borderId="0" xfId="64" applyBorder="1" applyProtection="1">
      <alignment/>
      <protection/>
    </xf>
    <xf numFmtId="14" fontId="4" fillId="0" borderId="0" xfId="64" applyNumberFormat="1" applyBorder="1" applyAlignment="1" applyProtection="1">
      <alignment horizontal="center"/>
      <protection/>
    </xf>
    <xf numFmtId="0" fontId="13" fillId="0" borderId="18" xfId="64" applyFont="1" applyBorder="1" applyAlignment="1" applyProtection="1">
      <alignment horizontal="right"/>
      <protection/>
    </xf>
    <xf numFmtId="0" fontId="4" fillId="0" borderId="0" xfId="64" applyNumberFormat="1" applyFont="1" applyBorder="1" applyProtection="1">
      <alignment/>
      <protection/>
    </xf>
    <xf numFmtId="0" fontId="4" fillId="0" borderId="0" xfId="64" applyFont="1" applyBorder="1" applyProtection="1">
      <alignment/>
      <protection/>
    </xf>
    <xf numFmtId="0" fontId="4" fillId="0" borderId="0" xfId="64" applyFont="1" applyBorder="1" applyAlignment="1" applyProtection="1">
      <alignment horizontal="right"/>
      <protection/>
    </xf>
    <xf numFmtId="0" fontId="4" fillId="0" borderId="0" xfId="64" applyBorder="1" applyAlignment="1" applyProtection="1">
      <alignment horizontal="right"/>
      <protection/>
    </xf>
    <xf numFmtId="14" fontId="4" fillId="0" borderId="0" xfId="64" applyNumberFormat="1" applyFont="1" applyBorder="1" applyProtection="1">
      <alignment/>
      <protection/>
    </xf>
    <xf numFmtId="0" fontId="4" fillId="0" borderId="18" xfId="64" applyBorder="1" applyProtection="1">
      <alignment/>
      <protection/>
    </xf>
    <xf numFmtId="0" fontId="4" fillId="0" borderId="22" xfId="64" applyBorder="1" applyProtection="1">
      <alignment/>
      <protection/>
    </xf>
    <xf numFmtId="0" fontId="4" fillId="0" borderId="23" xfId="64" applyBorder="1" applyProtection="1">
      <alignment/>
      <protection/>
    </xf>
    <xf numFmtId="0" fontId="4" fillId="0" borderId="14" xfId="64" applyFont="1" applyBorder="1" applyProtection="1">
      <alignment/>
      <protection locked="0"/>
    </xf>
    <xf numFmtId="38" fontId="4" fillId="0" borderId="16" xfId="68" applyNumberFormat="1" applyBorder="1" applyAlignment="1">
      <alignment horizontal="right"/>
      <protection/>
    </xf>
    <xf numFmtId="38" fontId="4" fillId="33" borderId="16" xfId="68" applyNumberFormat="1" applyFill="1" applyBorder="1" applyAlignment="1">
      <alignment horizontal="right"/>
      <protection/>
    </xf>
    <xf numFmtId="38" fontId="4" fillId="0" borderId="16" xfId="68" applyNumberFormat="1" applyBorder="1" applyAlignment="1">
      <alignment horizontal="right" vertical="top"/>
      <protection/>
    </xf>
    <xf numFmtId="0" fontId="4" fillId="0" borderId="17" xfId="65" applyBorder="1">
      <alignment/>
      <protection/>
    </xf>
    <xf numFmtId="0" fontId="11" fillId="0" borderId="17" xfId="65" applyFont="1" applyBorder="1" applyAlignment="1" quotePrefix="1">
      <alignment horizontal="center" vertical="center" wrapText="1"/>
      <protection/>
    </xf>
    <xf numFmtId="0" fontId="4" fillId="33" borderId="17" xfId="65" applyFill="1" applyBorder="1">
      <alignment/>
      <protection/>
    </xf>
    <xf numFmtId="38" fontId="8" fillId="0" borderId="17" xfId="65" applyNumberFormat="1" applyFont="1" applyBorder="1" applyAlignment="1">
      <alignment horizontal="right"/>
      <protection/>
    </xf>
    <xf numFmtId="38" fontId="4" fillId="33" borderId="17" xfId="65" applyNumberFormat="1" applyFill="1" applyBorder="1" applyAlignment="1">
      <alignment horizontal="right"/>
      <protection/>
    </xf>
    <xf numFmtId="0" fontId="8" fillId="0" borderId="25" xfId="65" applyFont="1" applyBorder="1" applyAlignment="1">
      <alignment horizontal="right"/>
      <protection/>
    </xf>
    <xf numFmtId="0" fontId="4" fillId="0" borderId="39" xfId="65" applyFont="1" applyBorder="1" applyAlignment="1">
      <alignment horizontal="center" vertical="center" wrapText="1"/>
      <protection/>
    </xf>
    <xf numFmtId="0" fontId="4" fillId="0" borderId="40" xfId="65" applyBorder="1">
      <alignment/>
      <protection/>
    </xf>
    <xf numFmtId="0" fontId="11" fillId="0" borderId="40" xfId="65" applyFont="1" applyBorder="1" applyAlignment="1" quotePrefix="1">
      <alignment horizontal="center" vertical="center" wrapText="1"/>
      <protection/>
    </xf>
    <xf numFmtId="0" fontId="4" fillId="33" borderId="40" xfId="65" applyFill="1" applyBorder="1">
      <alignment/>
      <protection/>
    </xf>
    <xf numFmtId="38" fontId="4" fillId="0" borderId="40" xfId="65" applyNumberFormat="1" applyBorder="1">
      <alignment/>
      <protection/>
    </xf>
    <xf numFmtId="38" fontId="4" fillId="0" borderId="40" xfId="65" applyNumberFormat="1" applyBorder="1" applyAlignment="1">
      <alignment vertical="top"/>
      <protection/>
    </xf>
    <xf numFmtId="38" fontId="14" fillId="33" borderId="40" xfId="65" applyNumberFormat="1" applyFont="1" applyFill="1" applyBorder="1" applyAlignment="1">
      <alignment horizontal="center"/>
      <protection/>
    </xf>
    <xf numFmtId="38" fontId="4" fillId="0" borderId="48" xfId="65" applyNumberFormat="1" applyBorder="1">
      <alignment/>
      <protection/>
    </xf>
    <xf numFmtId="38" fontId="8" fillId="0" borderId="40" xfId="65" applyNumberFormat="1" applyFont="1" applyBorder="1">
      <alignment/>
      <protection/>
    </xf>
    <xf numFmtId="38" fontId="4" fillId="33" borderId="40" xfId="65" applyNumberFormat="1" applyFill="1" applyBorder="1">
      <alignment/>
      <protection/>
    </xf>
    <xf numFmtId="38" fontId="4" fillId="0" borderId="48" xfId="65" applyNumberFormat="1" applyBorder="1" applyAlignment="1">
      <alignment horizontal="right"/>
      <protection/>
    </xf>
    <xf numFmtId="0" fontId="8" fillId="0" borderId="50" xfId="65" applyFont="1" applyBorder="1">
      <alignment/>
      <protection/>
    </xf>
    <xf numFmtId="0" fontId="4" fillId="0" borderId="17" xfId="65" applyNumberFormat="1" applyBorder="1" applyAlignment="1">
      <alignment horizontal="right" vertical="top"/>
      <protection/>
    </xf>
    <xf numFmtId="0" fontId="8" fillId="0" borderId="17" xfId="65" applyNumberFormat="1" applyFont="1" applyBorder="1" applyAlignment="1">
      <alignment horizontal="right"/>
      <protection/>
    </xf>
    <xf numFmtId="0" fontId="4" fillId="33" borderId="17" xfId="65" applyNumberFormat="1" applyFill="1" applyBorder="1" applyAlignment="1">
      <alignment horizontal="right"/>
      <protection/>
    </xf>
    <xf numFmtId="0" fontId="8" fillId="0" borderId="25" xfId="65" applyNumberFormat="1" applyFont="1" applyBorder="1" applyAlignment="1">
      <alignment horizontal="right"/>
      <protection/>
    </xf>
    <xf numFmtId="0" fontId="8" fillId="0" borderId="17" xfId="65" applyNumberFormat="1" applyFont="1" applyBorder="1" applyAlignment="1">
      <alignment horizontal="right" vertical="top"/>
      <protection/>
    </xf>
    <xf numFmtId="38" fontId="8" fillId="0" borderId="50" xfId="65" applyNumberFormat="1" applyFont="1" applyBorder="1">
      <alignment/>
      <protection/>
    </xf>
    <xf numFmtId="0" fontId="4" fillId="0" borderId="18" xfId="64" applyFont="1" applyBorder="1" applyAlignment="1">
      <alignment horizontal="centerContinuous" wrapText="1"/>
      <protection/>
    </xf>
    <xf numFmtId="0" fontId="13" fillId="0" borderId="18" xfId="64" applyFont="1" applyBorder="1" applyAlignment="1">
      <alignment horizontal="left"/>
      <protection/>
    </xf>
    <xf numFmtId="0" fontId="12" fillId="0" borderId="15" xfId="64" applyFont="1" applyBorder="1">
      <alignment/>
      <protection/>
    </xf>
    <xf numFmtId="0" fontId="4" fillId="0" borderId="15" xfId="74" applyFont="1" applyBorder="1" applyAlignment="1">
      <alignment horizontal="left" wrapText="1"/>
      <protection/>
    </xf>
    <xf numFmtId="0" fontId="17" fillId="0" borderId="0" xfId="66" applyFont="1" applyAlignment="1">
      <alignment horizontal="centerContinuous"/>
      <protection/>
    </xf>
    <xf numFmtId="0" fontId="4" fillId="0" borderId="33" xfId="66" applyFont="1" applyBorder="1" applyAlignment="1">
      <alignment horizontal="centerContinuous" vertical="center" wrapText="1"/>
      <protection/>
    </xf>
    <xf numFmtId="0" fontId="4" fillId="0" borderId="51" xfId="66" applyFont="1" applyBorder="1" applyAlignment="1">
      <alignment horizontal="center" vertical="center" wrapText="1"/>
      <protection/>
    </xf>
    <xf numFmtId="0" fontId="4" fillId="0" borderId="42" xfId="66" applyFont="1" applyBorder="1" applyAlignment="1">
      <alignment horizontal="left"/>
      <protection/>
    </xf>
    <xf numFmtId="0" fontId="4" fillId="34" borderId="15" xfId="66" applyFill="1" applyBorder="1" applyAlignment="1" quotePrefix="1">
      <alignment horizontal="left"/>
      <protection/>
    </xf>
    <xf numFmtId="0" fontId="4" fillId="34" borderId="15" xfId="66" applyFill="1" applyBorder="1">
      <alignment/>
      <protection/>
    </xf>
    <xf numFmtId="0" fontId="4" fillId="0" borderId="15" xfId="66" applyFont="1" applyBorder="1" applyAlignment="1">
      <alignment horizontal="left"/>
      <protection/>
    </xf>
    <xf numFmtId="38" fontId="4" fillId="0" borderId="93" xfId="66" applyNumberFormat="1" applyBorder="1">
      <alignment/>
      <protection/>
    </xf>
    <xf numFmtId="0" fontId="4" fillId="33" borderId="16" xfId="66" applyFill="1" applyBorder="1">
      <alignment/>
      <protection/>
    </xf>
    <xf numFmtId="0" fontId="4" fillId="33" borderId="15" xfId="66" applyFont="1" applyFill="1" applyBorder="1" applyAlignment="1">
      <alignment horizontal="left"/>
      <protection/>
    </xf>
    <xf numFmtId="0" fontId="4" fillId="33" borderId="27" xfId="66" applyFill="1" applyBorder="1">
      <alignment/>
      <protection/>
    </xf>
    <xf numFmtId="38" fontId="4" fillId="33" borderId="17" xfId="66" applyNumberFormat="1" applyFill="1" applyBorder="1">
      <alignment/>
      <protection/>
    </xf>
    <xf numFmtId="38" fontId="4" fillId="34" borderId="31" xfId="66" applyNumberFormat="1" applyFill="1" applyBorder="1">
      <alignment/>
      <protection/>
    </xf>
    <xf numFmtId="0" fontId="4" fillId="0" borderId="94" xfId="66" applyBorder="1" applyAlignment="1">
      <alignment horizontal="center"/>
      <protection/>
    </xf>
    <xf numFmtId="0" fontId="4" fillId="0" borderId="15" xfId="66" applyFont="1" applyBorder="1">
      <alignment/>
      <protection/>
    </xf>
    <xf numFmtId="0" fontId="4" fillId="0" borderId="15" xfId="66" applyFont="1" applyBorder="1" applyAlignment="1">
      <alignment vertical="center"/>
      <protection/>
    </xf>
    <xf numFmtId="0" fontId="4" fillId="33" borderId="15" xfId="66" applyFont="1" applyFill="1" applyBorder="1" applyAlignment="1">
      <alignment vertical="center"/>
      <protection/>
    </xf>
    <xf numFmtId="0" fontId="0" fillId="0" borderId="27" xfId="0" applyBorder="1" applyAlignment="1">
      <alignment/>
    </xf>
    <xf numFmtId="0" fontId="0" fillId="0" borderId="62" xfId="0" applyBorder="1" applyAlignment="1">
      <alignment/>
    </xf>
    <xf numFmtId="0" fontId="4" fillId="0" borderId="60" xfId="66" applyFont="1" applyBorder="1" applyAlignment="1">
      <alignment horizontal="left"/>
      <protection/>
    </xf>
    <xf numFmtId="0" fontId="0" fillId="0" borderId="61" xfId="0" applyBorder="1" applyAlignment="1">
      <alignment/>
    </xf>
    <xf numFmtId="0" fontId="4" fillId="0" borderId="0" xfId="66" applyFont="1" applyBorder="1" applyAlignment="1">
      <alignment horizontal="left"/>
      <protection/>
    </xf>
    <xf numFmtId="0" fontId="4" fillId="0" borderId="30" xfId="66" applyBorder="1">
      <alignment/>
      <protection/>
    </xf>
    <xf numFmtId="0" fontId="4" fillId="0" borderId="56" xfId="66" applyFont="1" applyBorder="1" applyAlignment="1">
      <alignment horizontal="center"/>
      <protection/>
    </xf>
    <xf numFmtId="0" fontId="8" fillId="33" borderId="30" xfId="66" applyFont="1" applyFill="1" applyBorder="1" applyAlignment="1">
      <alignment vertical="top"/>
      <protection/>
    </xf>
    <xf numFmtId="0" fontId="4" fillId="33" borderId="23" xfId="66" applyFill="1" applyBorder="1">
      <alignment/>
      <protection/>
    </xf>
    <xf numFmtId="0" fontId="4" fillId="33" borderId="25" xfId="66" applyFill="1" applyBorder="1">
      <alignment/>
      <protection/>
    </xf>
    <xf numFmtId="38" fontId="4" fillId="0" borderId="16" xfId="68" applyNumberFormat="1" applyFont="1" applyBorder="1" applyAlignment="1" applyProtection="1">
      <alignment/>
      <protection locked="0"/>
    </xf>
    <xf numFmtId="0" fontId="4" fillId="0" borderId="15" xfId="68" applyFont="1" applyBorder="1" applyAlignment="1">
      <alignment/>
      <protection/>
    </xf>
    <xf numFmtId="38" fontId="4" fillId="34" borderId="28" xfId="66" applyNumberFormat="1" applyFill="1" applyBorder="1" applyProtection="1">
      <alignment/>
      <protection locked="0"/>
    </xf>
    <xf numFmtId="38" fontId="4" fillId="0" borderId="31" xfId="66" applyNumberFormat="1" applyFont="1" applyBorder="1" applyProtection="1">
      <alignment/>
      <protection locked="0"/>
    </xf>
    <xf numFmtId="38" fontId="4" fillId="0" borderId="93" xfId="66" applyNumberFormat="1" applyFont="1" applyBorder="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0" fontId="0" fillId="0" borderId="0" xfId="0" applyAlignment="1" applyProtection="1">
      <alignment/>
      <protection locked="0"/>
    </xf>
    <xf numFmtId="0" fontId="4" fillId="0" borderId="15" xfId="68" applyFont="1" applyBorder="1" applyAlignment="1" applyProtection="1">
      <alignment horizontal="left"/>
      <protection locked="0"/>
    </xf>
    <xf numFmtId="0" fontId="4" fillId="0" borderId="22" xfId="68" applyFont="1" applyBorder="1" applyAlignment="1" applyProtection="1">
      <alignment horizontal="left"/>
      <protection locked="0"/>
    </xf>
    <xf numFmtId="0" fontId="17" fillId="0" borderId="0" xfId="68" applyFont="1" applyAlignment="1" applyProtection="1">
      <alignment horizontal="centerContinuous"/>
      <protection locked="0"/>
    </xf>
    <xf numFmtId="0" fontId="4" fillId="0" borderId="37" xfId="68" applyFont="1" applyBorder="1" applyAlignment="1" applyProtection="1">
      <alignment horizontal="center" wrapText="1"/>
      <protection locked="0"/>
    </xf>
    <xf numFmtId="0" fontId="4" fillId="0" borderId="31" xfId="68" applyBorder="1" applyAlignment="1" applyProtection="1">
      <alignment horizontal="center"/>
      <protection locked="0"/>
    </xf>
    <xf numFmtId="0" fontId="11" fillId="0" borderId="67" xfId="68" applyFont="1" applyBorder="1" applyAlignment="1" applyProtection="1" quotePrefix="1">
      <alignment horizontal="center" vertical="center" wrapText="1"/>
      <protection locked="0"/>
    </xf>
    <xf numFmtId="0" fontId="4" fillId="33" borderId="31" xfId="68" applyFill="1" applyBorder="1" applyAlignment="1" applyProtection="1">
      <alignment horizontal="right"/>
      <protection locked="0"/>
    </xf>
    <xf numFmtId="38" fontId="4" fillId="0" borderId="31" xfId="68" applyNumberFormat="1" applyBorder="1" applyAlignment="1" applyProtection="1">
      <alignment horizontal="right"/>
      <protection locked="0"/>
    </xf>
    <xf numFmtId="38" fontId="4" fillId="33" borderId="31" xfId="68" applyNumberFormat="1" applyFill="1" applyBorder="1" applyAlignment="1" applyProtection="1">
      <alignment horizontal="right"/>
      <protection locked="0"/>
    </xf>
    <xf numFmtId="38" fontId="4" fillId="0" borderId="31" xfId="68" applyNumberFormat="1" applyBorder="1" applyAlignment="1" applyProtection="1">
      <alignment horizontal="right" vertical="top"/>
      <protection locked="0"/>
    </xf>
    <xf numFmtId="0" fontId="4" fillId="0" borderId="39" xfId="68" applyFont="1" applyBorder="1" applyAlignment="1" applyProtection="1">
      <alignment horizontal="center" vertical="center" wrapText="1"/>
      <protection locked="0"/>
    </xf>
    <xf numFmtId="0" fontId="4" fillId="0" borderId="40" xfId="68" applyBorder="1" applyAlignment="1" applyProtection="1">
      <alignment horizontal="center"/>
      <protection locked="0"/>
    </xf>
    <xf numFmtId="0" fontId="11" fillId="0" borderId="40" xfId="68" applyFont="1" applyBorder="1" applyAlignment="1" applyProtection="1" quotePrefix="1">
      <alignment horizontal="center" vertical="center" wrapText="1"/>
      <protection locked="0"/>
    </xf>
    <xf numFmtId="38" fontId="4" fillId="33" borderId="40" xfId="68" applyNumberFormat="1" applyFill="1" applyBorder="1" applyProtection="1">
      <alignment/>
      <protection locked="0"/>
    </xf>
    <xf numFmtId="0" fontId="4" fillId="33" borderId="40" xfId="68" applyFill="1" applyBorder="1" applyProtection="1">
      <alignment/>
      <protection locked="0"/>
    </xf>
    <xf numFmtId="0" fontId="4" fillId="33" borderId="50" xfId="68" applyFill="1" applyBorder="1" applyProtection="1">
      <alignment/>
      <protection locked="0"/>
    </xf>
    <xf numFmtId="0" fontId="4" fillId="33" borderId="40" xfId="68" applyFill="1" applyBorder="1" applyAlignment="1" applyProtection="1">
      <alignment horizontal="right"/>
      <protection locked="0"/>
    </xf>
    <xf numFmtId="38" fontId="4" fillId="33" borderId="40" xfId="68" applyNumberFormat="1" applyFill="1" applyBorder="1" applyAlignment="1" applyProtection="1">
      <alignment horizontal="right"/>
      <protection locked="0"/>
    </xf>
    <xf numFmtId="38" fontId="4" fillId="33" borderId="50" xfId="68" applyNumberFormat="1" applyFill="1" applyBorder="1" applyAlignment="1" applyProtection="1">
      <alignment horizontal="right"/>
      <protection locked="0"/>
    </xf>
    <xf numFmtId="38" fontId="4" fillId="33" borderId="48" xfId="68" applyNumberFormat="1" applyFill="1" applyBorder="1" applyAlignment="1" applyProtection="1">
      <alignment/>
      <protection locked="0"/>
    </xf>
    <xf numFmtId="38" fontId="4" fillId="33" borderId="40" xfId="68" applyNumberFormat="1" applyFill="1" applyBorder="1" applyAlignment="1" applyProtection="1">
      <alignment/>
      <protection locked="0"/>
    </xf>
    <xf numFmtId="38" fontId="4" fillId="0" borderId="0" xfId="68" applyNumberFormat="1" applyBorder="1" applyProtection="1">
      <alignment/>
      <protection locked="0"/>
    </xf>
    <xf numFmtId="0" fontId="8" fillId="0" borderId="0" xfId="68" applyFont="1" applyBorder="1" applyProtection="1">
      <alignment/>
      <protection locked="0"/>
    </xf>
    <xf numFmtId="0" fontId="4" fillId="33" borderId="42" xfId="68" applyFill="1" applyBorder="1" applyAlignment="1" applyProtection="1">
      <alignment/>
      <protection locked="0"/>
    </xf>
    <xf numFmtId="0" fontId="4" fillId="33" borderId="30" xfId="68" applyFill="1" applyBorder="1" applyAlignment="1" applyProtection="1">
      <alignment/>
      <protection locked="0"/>
    </xf>
    <xf numFmtId="0" fontId="4" fillId="33" borderId="40" xfId="68" applyFill="1" applyBorder="1" applyAlignment="1" applyProtection="1">
      <alignment/>
      <protection locked="0"/>
    </xf>
    <xf numFmtId="0" fontId="4" fillId="33" borderId="41" xfId="68" applyFill="1" applyBorder="1" applyAlignment="1" applyProtection="1">
      <alignment/>
      <protection locked="0"/>
    </xf>
    <xf numFmtId="0" fontId="4" fillId="33" borderId="48" xfId="68" applyFill="1" applyBorder="1" applyProtection="1">
      <alignment/>
      <protection locked="0"/>
    </xf>
    <xf numFmtId="0" fontId="0" fillId="0" borderId="35" xfId="0" applyBorder="1" applyAlignment="1">
      <alignment horizontal="centerContinuous"/>
    </xf>
    <xf numFmtId="0" fontId="0" fillId="0" borderId="34" xfId="0" applyBorder="1" applyAlignment="1">
      <alignment horizontal="centerContinuous"/>
    </xf>
    <xf numFmtId="0" fontId="0" fillId="0" borderId="36" xfId="0" applyBorder="1" applyAlignment="1">
      <alignment horizontal="centerContinuous"/>
    </xf>
    <xf numFmtId="0" fontId="4" fillId="0" borderId="58" xfId="66" applyBorder="1" applyAlignment="1">
      <alignment horizontal="centerContinuous" vertical="center"/>
      <protection/>
    </xf>
    <xf numFmtId="0" fontId="0" fillId="0" borderId="14" xfId="0" applyBorder="1" applyAlignment="1">
      <alignment horizontal="centerContinuous" vertical="center"/>
    </xf>
    <xf numFmtId="0" fontId="11" fillId="0" borderId="16" xfId="66" applyFont="1" applyBorder="1" applyAlignment="1">
      <alignment horizontal="centerContinuous"/>
      <protection/>
    </xf>
    <xf numFmtId="0" fontId="0" fillId="0" borderId="15" xfId="0" applyFont="1" applyBorder="1" applyAlignment="1">
      <alignment horizontal="centerContinuous"/>
    </xf>
    <xf numFmtId="0" fontId="0" fillId="0" borderId="17" xfId="0" applyFont="1" applyBorder="1" applyAlignment="1">
      <alignment horizontal="centerContinuous"/>
    </xf>
    <xf numFmtId="0" fontId="4" fillId="0" borderId="73" xfId="66" applyBorder="1" applyAlignment="1">
      <alignment horizontal="centerContinuous" vertical="center"/>
      <protection/>
    </xf>
    <xf numFmtId="0" fontId="0" fillId="0" borderId="56" xfId="0" applyBorder="1" applyAlignment="1">
      <alignment horizontal="centerContinuous" vertical="center"/>
    </xf>
    <xf numFmtId="38" fontId="4" fillId="0" borderId="95" xfId="66" applyNumberFormat="1" applyBorder="1" applyAlignment="1">
      <alignment vertical="center"/>
      <protection/>
    </xf>
    <xf numFmtId="0" fontId="0" fillId="0" borderId="96" xfId="0" applyBorder="1" applyAlignment="1">
      <alignment vertical="center"/>
    </xf>
    <xf numFmtId="0" fontId="0" fillId="0" borderId="24" xfId="0" applyFont="1" applyBorder="1" applyAlignment="1">
      <alignment horizontal="centerContinuous"/>
    </xf>
    <xf numFmtId="0" fontId="8" fillId="0" borderId="0" xfId="64" applyFont="1" applyBorder="1" applyAlignment="1" applyProtection="1">
      <alignment vertical="top"/>
      <protection/>
    </xf>
    <xf numFmtId="0" fontId="4" fillId="0" borderId="15" xfId="64" applyBorder="1" applyAlignment="1">
      <alignment horizontal="left" vertical="top"/>
      <protection/>
    </xf>
    <xf numFmtId="0" fontId="8" fillId="0" borderId="17" xfId="64" applyFont="1" applyBorder="1" applyAlignment="1">
      <alignment horizontal="left" vertical="top"/>
      <protection/>
    </xf>
    <xf numFmtId="0" fontId="4" fillId="0" borderId="15" xfId="64" applyBorder="1" applyAlignment="1">
      <alignment horizontal="centerContinuous" vertical="top"/>
      <protection/>
    </xf>
    <xf numFmtId="0" fontId="4" fillId="0" borderId="17" xfId="64" applyBorder="1" applyAlignment="1">
      <alignment horizontal="centerContinuous" vertical="top"/>
      <protection/>
    </xf>
    <xf numFmtId="0" fontId="4" fillId="0" borderId="65" xfId="74" applyFont="1" applyBorder="1" applyAlignment="1">
      <alignment horizontal="left" wrapText="1"/>
      <protection/>
    </xf>
    <xf numFmtId="0" fontId="27" fillId="0" borderId="0" xfId="77" applyFont="1" applyAlignment="1" quotePrefix="1">
      <alignment horizontal="left"/>
      <protection/>
    </xf>
    <xf numFmtId="0" fontId="4" fillId="0" borderId="0" xfId="64" applyBorder="1" applyAlignment="1" applyProtection="1">
      <alignment horizontal="centerContinuous" vertical="top"/>
      <protection/>
    </xf>
    <xf numFmtId="0" fontId="4" fillId="0" borderId="20" xfId="64" applyBorder="1" applyAlignment="1" applyProtection="1">
      <alignment horizontal="centerContinuous" vertical="top"/>
      <protection/>
    </xf>
    <xf numFmtId="14" fontId="4" fillId="0" borderId="20" xfId="64" applyNumberFormat="1" applyBorder="1" applyProtection="1">
      <alignment/>
      <protection/>
    </xf>
    <xf numFmtId="0" fontId="8" fillId="0" borderId="0" xfId="64" applyFont="1" applyBorder="1" applyAlignment="1" applyProtection="1">
      <alignment horizontal="left" vertical="top"/>
      <protection/>
    </xf>
    <xf numFmtId="0" fontId="4" fillId="0" borderId="20" xfId="64" applyBorder="1" applyProtection="1">
      <alignment/>
      <protection/>
    </xf>
    <xf numFmtId="0" fontId="8" fillId="0" borderId="23" xfId="64" applyFont="1" applyBorder="1" applyAlignment="1" applyProtection="1">
      <alignment horizontal="left" vertical="top"/>
      <protection/>
    </xf>
    <xf numFmtId="0" fontId="4" fillId="0" borderId="23" xfId="64" applyBorder="1" applyAlignment="1" applyProtection="1">
      <alignment horizontal="left" vertical="top"/>
      <protection/>
    </xf>
    <xf numFmtId="0" fontId="8" fillId="0" borderId="25" xfId="64" applyFont="1" applyBorder="1" applyAlignment="1" applyProtection="1">
      <alignment horizontal="left" vertical="top"/>
      <protection/>
    </xf>
    <xf numFmtId="0" fontId="4" fillId="0" borderId="17" xfId="65" applyNumberFormat="1" applyBorder="1" applyAlignment="1" applyProtection="1">
      <alignment horizontal="right"/>
      <protection locked="0"/>
    </xf>
    <xf numFmtId="0" fontId="4" fillId="0" borderId="17" xfId="65" applyNumberFormat="1" applyBorder="1" applyAlignment="1" applyProtection="1">
      <alignment horizontal="right" vertical="top"/>
      <protection locked="0"/>
    </xf>
    <xf numFmtId="0" fontId="4" fillId="0" borderId="20" xfId="65" applyNumberFormat="1" applyBorder="1" applyAlignment="1" applyProtection="1">
      <alignment horizontal="right"/>
      <protection locked="0"/>
    </xf>
    <xf numFmtId="0" fontId="4" fillId="0" borderId="20" xfId="65" applyNumberFormat="1" applyBorder="1" applyAlignment="1" applyProtection="1">
      <alignment horizontal="right" vertical="top"/>
      <protection locked="0"/>
    </xf>
    <xf numFmtId="38" fontId="4" fillId="0" borderId="17" xfId="65" applyNumberFormat="1" applyBorder="1" applyAlignment="1" applyProtection="1">
      <alignment horizontal="right"/>
      <protection locked="0"/>
    </xf>
    <xf numFmtId="38" fontId="4" fillId="0" borderId="17" xfId="65" applyNumberFormat="1" applyBorder="1" applyAlignment="1" applyProtection="1">
      <alignment horizontal="right" vertical="top"/>
      <protection locked="0"/>
    </xf>
    <xf numFmtId="38" fontId="4" fillId="0" borderId="20" xfId="65" applyNumberFormat="1" applyBorder="1" applyAlignment="1" applyProtection="1">
      <alignment horizontal="right"/>
      <protection locked="0"/>
    </xf>
    <xf numFmtId="38" fontId="4" fillId="0" borderId="16" xfId="68" applyNumberFormat="1" applyBorder="1" applyAlignment="1" applyProtection="1">
      <alignment/>
      <protection/>
    </xf>
    <xf numFmtId="0" fontId="4" fillId="33" borderId="40" xfId="68" applyFill="1" applyBorder="1" applyProtection="1">
      <alignment/>
      <protection/>
    </xf>
    <xf numFmtId="37" fontId="4" fillId="33" borderId="40" xfId="68" applyNumberFormat="1" applyFill="1" applyBorder="1" applyProtection="1">
      <alignment/>
      <protection/>
    </xf>
    <xf numFmtId="38" fontId="4" fillId="33" borderId="50" xfId="68" applyNumberFormat="1" applyFill="1" applyBorder="1" applyProtection="1">
      <alignment/>
      <protection/>
    </xf>
    <xf numFmtId="0" fontId="4" fillId="33" borderId="40" xfId="68" applyFill="1" applyBorder="1" applyAlignment="1" applyProtection="1">
      <alignment horizontal="right"/>
      <protection/>
    </xf>
    <xf numFmtId="38" fontId="4" fillId="33" borderId="40" xfId="68" applyNumberFormat="1" applyFill="1" applyBorder="1" applyAlignment="1" applyProtection="1">
      <alignment horizontal="right"/>
      <protection/>
    </xf>
    <xf numFmtId="38" fontId="4" fillId="33" borderId="50" xfId="68" applyNumberFormat="1" applyFill="1" applyBorder="1" applyAlignment="1" applyProtection="1">
      <alignment horizontal="right"/>
      <protection/>
    </xf>
    <xf numFmtId="38" fontId="4" fillId="33" borderId="48" xfId="68" applyNumberFormat="1" applyFill="1" applyBorder="1" applyAlignment="1" applyProtection="1">
      <alignment horizontal="right"/>
      <protection/>
    </xf>
    <xf numFmtId="38" fontId="8" fillId="33" borderId="40" xfId="68" applyNumberFormat="1" applyFont="1" applyFill="1" applyBorder="1" applyAlignment="1" applyProtection="1">
      <alignment horizontal="right"/>
      <protection/>
    </xf>
    <xf numFmtId="38" fontId="4" fillId="33" borderId="40" xfId="68" applyNumberFormat="1" applyFont="1" applyFill="1" applyBorder="1" applyAlignment="1" applyProtection="1">
      <alignment horizontal="right"/>
      <protection/>
    </xf>
    <xf numFmtId="38" fontId="4" fillId="33" borderId="42" xfId="68" applyNumberFormat="1" applyFill="1" applyBorder="1" applyAlignment="1" applyProtection="1">
      <alignment horizontal="right"/>
      <protection/>
    </xf>
    <xf numFmtId="38" fontId="4" fillId="33" borderId="41" xfId="68" applyNumberFormat="1" applyFill="1" applyBorder="1" applyAlignment="1" applyProtection="1">
      <alignment horizontal="right"/>
      <protection/>
    </xf>
    <xf numFmtId="38" fontId="4" fillId="33" borderId="40" xfId="68" applyNumberFormat="1" applyFill="1" applyBorder="1" applyAlignment="1" applyProtection="1">
      <alignment/>
      <protection/>
    </xf>
    <xf numFmtId="38" fontId="4" fillId="33" borderId="46" xfId="68" applyNumberFormat="1" applyFill="1" applyBorder="1" applyAlignment="1" applyProtection="1">
      <alignment/>
      <protection/>
    </xf>
    <xf numFmtId="37" fontId="4" fillId="33" borderId="40" xfId="68" applyNumberFormat="1" applyFill="1" applyBorder="1" applyAlignment="1" applyProtection="1">
      <alignment horizontal="right"/>
      <protection/>
    </xf>
    <xf numFmtId="38" fontId="4" fillId="0" borderId="74" xfId="74" applyNumberFormat="1" applyBorder="1" applyProtection="1">
      <alignment/>
      <protection/>
    </xf>
    <xf numFmtId="176" fontId="4" fillId="0" borderId="74" xfId="74" applyNumberFormat="1" applyBorder="1" applyProtection="1">
      <alignment/>
      <protection/>
    </xf>
    <xf numFmtId="38" fontId="4" fillId="0" borderId="67" xfId="74" applyNumberFormat="1" applyBorder="1" applyProtection="1">
      <alignment/>
      <protection/>
    </xf>
    <xf numFmtId="0" fontId="11" fillId="0" borderId="15" xfId="64" applyFont="1" applyBorder="1" applyProtection="1">
      <alignment/>
      <protection locked="0"/>
    </xf>
    <xf numFmtId="0" fontId="4" fillId="0" borderId="0" xfId="75" applyAlignment="1">
      <alignment horizontal="right"/>
      <protection/>
    </xf>
    <xf numFmtId="0" fontId="4" fillId="0" borderId="0" xfId="75">
      <alignment/>
      <protection/>
    </xf>
    <xf numFmtId="0" fontId="4" fillId="0" borderId="0" xfId="75" applyFont="1">
      <alignment/>
      <protection/>
    </xf>
    <xf numFmtId="0" fontId="30" fillId="0" borderId="0" xfId="75" applyFont="1">
      <alignment/>
      <protection/>
    </xf>
    <xf numFmtId="0" fontId="31" fillId="0" borderId="0" xfId="75" applyFont="1">
      <alignment/>
      <protection/>
    </xf>
    <xf numFmtId="0" fontId="4" fillId="0" borderId="0" xfId="75" applyAlignment="1" applyProtection="1">
      <alignment horizontal="left"/>
      <protection/>
    </xf>
    <xf numFmtId="0" fontId="0" fillId="0" borderId="0" xfId="58" applyAlignment="1">
      <alignment/>
      <protection/>
    </xf>
    <xf numFmtId="0" fontId="1" fillId="0" borderId="0" xfId="0" applyFont="1" applyBorder="1" applyAlignment="1">
      <alignment horizontal="center"/>
    </xf>
    <xf numFmtId="0" fontId="0" fillId="0" borderId="0" xfId="0" applyBorder="1" applyAlignment="1" applyProtection="1">
      <alignment/>
      <protection/>
    </xf>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58" applyBorder="1" applyAlignment="1">
      <alignment/>
      <protection/>
    </xf>
    <xf numFmtId="0" fontId="1" fillId="0" borderId="0" xfId="58" applyFont="1" applyBorder="1" applyAlignment="1" applyProtection="1">
      <alignment/>
      <protection/>
    </xf>
    <xf numFmtId="0" fontId="0" fillId="0" borderId="0" xfId="58" applyBorder="1" applyAlignment="1" applyProtection="1">
      <alignment/>
      <protection/>
    </xf>
    <xf numFmtId="0" fontId="0" fillId="0" borderId="0" xfId="59" applyFont="1" applyAlignment="1" applyProtection="1">
      <alignment/>
      <protection/>
    </xf>
    <xf numFmtId="0" fontId="0" fillId="0" borderId="0" xfId="58" applyBorder="1" applyAlignment="1" applyProtection="1">
      <alignment horizontal="left"/>
      <protection/>
    </xf>
    <xf numFmtId="0" fontId="0" fillId="0" borderId="0" xfId="58" applyAlignment="1">
      <alignment horizontal="center"/>
      <protection/>
    </xf>
    <xf numFmtId="0" fontId="4" fillId="0" borderId="0" xfId="70" applyAlignment="1" applyProtection="1">
      <alignment horizontal="centerContinuous"/>
      <protection/>
    </xf>
    <xf numFmtId="0" fontId="23" fillId="0" borderId="0" xfId="70" applyFont="1" applyAlignment="1" applyProtection="1">
      <alignment horizontal="centerContinuous" wrapText="1"/>
      <protection/>
    </xf>
    <xf numFmtId="0" fontId="4" fillId="0" borderId="0" xfId="70" applyBorder="1" applyAlignment="1" applyProtection="1">
      <alignment horizontal="center"/>
      <protection/>
    </xf>
    <xf numFmtId="0" fontId="4" fillId="0" borderId="0" xfId="70" applyAlignment="1" applyProtection="1" quotePrefix="1">
      <alignment horizontal="left"/>
      <protection/>
    </xf>
    <xf numFmtId="0" fontId="4" fillId="0" borderId="0" xfId="70" applyBorder="1" applyAlignment="1" applyProtection="1" quotePrefix="1">
      <alignment horizontal="center"/>
      <protection/>
    </xf>
    <xf numFmtId="0" fontId="4" fillId="0" borderId="0" xfId="70" applyAlignment="1" applyProtection="1">
      <alignment vertical="center"/>
      <protection/>
    </xf>
    <xf numFmtId="0" fontId="8" fillId="0" borderId="0" xfId="70" applyFont="1" applyProtection="1">
      <alignment/>
      <protection/>
    </xf>
    <xf numFmtId="0" fontId="4" fillId="0" borderId="0" xfId="70" applyFont="1" applyProtection="1">
      <alignment/>
      <protection/>
    </xf>
    <xf numFmtId="0" fontId="4" fillId="0" borderId="0" xfId="70" applyFont="1" applyAlignment="1" applyProtection="1">
      <alignment vertical="center"/>
      <protection/>
    </xf>
    <xf numFmtId="37" fontId="4" fillId="0" borderId="16" xfId="65" applyNumberFormat="1" applyBorder="1" applyProtection="1">
      <alignment/>
      <protection locked="0"/>
    </xf>
    <xf numFmtId="37" fontId="4" fillId="0" borderId="16" xfId="65" applyNumberFormat="1" applyFont="1" applyBorder="1" applyProtection="1">
      <alignment/>
      <protection locked="0"/>
    </xf>
    <xf numFmtId="37" fontId="4" fillId="0" borderId="16" xfId="65" applyNumberFormat="1" applyBorder="1" applyAlignment="1" applyProtection="1">
      <alignment vertical="top"/>
      <protection locked="0"/>
    </xf>
    <xf numFmtId="37" fontId="4" fillId="0" borderId="16" xfId="65" applyNumberFormat="1" applyBorder="1">
      <alignment/>
      <protection/>
    </xf>
    <xf numFmtId="37" fontId="4" fillId="0" borderId="19" xfId="65" applyNumberFormat="1" applyBorder="1" applyAlignment="1">
      <alignment/>
      <protection/>
    </xf>
    <xf numFmtId="37" fontId="4" fillId="0" borderId="16" xfId="65" applyNumberFormat="1" applyBorder="1" applyAlignment="1">
      <alignment vertical="top"/>
      <protection/>
    </xf>
    <xf numFmtId="37" fontId="4" fillId="0" borderId="19" xfId="65" applyNumberFormat="1" applyBorder="1" applyAlignment="1">
      <alignment vertical="top"/>
      <protection/>
    </xf>
    <xf numFmtId="37" fontId="8" fillId="0" borderId="16" xfId="65" applyNumberFormat="1" applyFont="1" applyBorder="1" applyAlignment="1">
      <alignment vertical="top"/>
      <protection/>
    </xf>
    <xf numFmtId="37" fontId="4" fillId="0" borderId="19" xfId="65" applyNumberFormat="1" applyBorder="1">
      <alignment/>
      <protection/>
    </xf>
    <xf numFmtId="37" fontId="4" fillId="0" borderId="40" xfId="65" applyNumberFormat="1" applyBorder="1">
      <alignment/>
      <protection/>
    </xf>
    <xf numFmtId="37" fontId="4" fillId="0" borderId="48" xfId="65" applyNumberFormat="1" applyBorder="1" applyAlignment="1">
      <alignment/>
      <protection/>
    </xf>
    <xf numFmtId="37" fontId="4" fillId="0" borderId="40" xfId="65" applyNumberFormat="1" applyBorder="1" applyAlignment="1">
      <alignment vertical="top"/>
      <protection/>
    </xf>
    <xf numFmtId="37" fontId="4" fillId="0" borderId="48" xfId="65" applyNumberFormat="1" applyBorder="1" applyAlignment="1">
      <alignment vertical="top"/>
      <protection/>
    </xf>
    <xf numFmtId="37" fontId="8" fillId="0" borderId="40" xfId="65" applyNumberFormat="1" applyFont="1" applyBorder="1" applyAlignment="1">
      <alignment vertical="top"/>
      <protection/>
    </xf>
    <xf numFmtId="37" fontId="4" fillId="0" borderId="48" xfId="65" applyNumberFormat="1" applyBorder="1">
      <alignment/>
      <protection/>
    </xf>
    <xf numFmtId="37" fontId="14" fillId="33" borderId="40" xfId="65" applyNumberFormat="1" applyFont="1" applyFill="1" applyBorder="1" applyAlignment="1">
      <alignment horizontal="center"/>
      <protection/>
    </xf>
    <xf numFmtId="0" fontId="4" fillId="0" borderId="16" xfId="73" applyBorder="1" applyAlignment="1" applyProtection="1">
      <alignment horizontal="left"/>
      <protection/>
    </xf>
    <xf numFmtId="0" fontId="4" fillId="0" borderId="0" xfId="68" applyAlignment="1">
      <alignment horizontal="center"/>
      <protection/>
    </xf>
    <xf numFmtId="0" fontId="17" fillId="0" borderId="0" xfId="68" applyFont="1" applyAlignment="1">
      <alignment horizontal="center"/>
      <protection/>
    </xf>
    <xf numFmtId="0" fontId="11" fillId="0" borderId="0" xfId="68" applyFont="1" applyAlignment="1">
      <alignment horizontal="center"/>
      <protection/>
    </xf>
    <xf numFmtId="0" fontId="8" fillId="0" borderId="0" xfId="68" applyFont="1" applyAlignment="1">
      <alignment horizontal="center"/>
      <protection/>
    </xf>
    <xf numFmtId="38" fontId="4" fillId="33" borderId="40" xfId="68" applyNumberFormat="1" applyFill="1" applyBorder="1" applyAlignment="1">
      <alignment horizontal="center"/>
      <protection/>
    </xf>
    <xf numFmtId="37" fontId="4" fillId="0" borderId="40" xfId="68" applyNumberFormat="1" applyBorder="1" applyAlignment="1" applyProtection="1">
      <alignment horizontal="center"/>
      <protection locked="0"/>
    </xf>
    <xf numFmtId="37" fontId="4" fillId="0" borderId="40" xfId="68" applyNumberFormat="1" applyFont="1" applyBorder="1" applyAlignment="1" applyProtection="1">
      <alignment horizontal="center"/>
      <protection locked="0"/>
    </xf>
    <xf numFmtId="37" fontId="4" fillId="0" borderId="40" xfId="68" applyNumberFormat="1" applyFill="1" applyBorder="1" applyAlignment="1" applyProtection="1">
      <alignment horizontal="center"/>
      <protection locked="0"/>
    </xf>
    <xf numFmtId="37" fontId="4" fillId="34" borderId="40" xfId="68" applyNumberFormat="1" applyFill="1" applyBorder="1" applyAlignment="1" applyProtection="1">
      <alignment horizontal="center"/>
      <protection locked="0"/>
    </xf>
    <xf numFmtId="37" fontId="4" fillId="0" borderId="40" xfId="68" applyNumberFormat="1" applyBorder="1" applyAlignment="1">
      <alignment horizontal="center"/>
      <protection/>
    </xf>
    <xf numFmtId="0" fontId="4" fillId="33" borderId="40" xfId="68" applyFill="1" applyBorder="1" applyAlignment="1">
      <alignment horizontal="center"/>
      <protection/>
    </xf>
    <xf numFmtId="0" fontId="4" fillId="34" borderId="40" xfId="68" applyFill="1" applyBorder="1" applyAlignment="1" applyProtection="1">
      <alignment horizontal="center"/>
      <protection locked="0"/>
    </xf>
    <xf numFmtId="38" fontId="4" fillId="0" borderId="16" xfId="68" applyNumberFormat="1" applyBorder="1" applyAlignment="1">
      <alignment horizontal="center"/>
      <protection/>
    </xf>
    <xf numFmtId="38" fontId="4" fillId="0" borderId="51" xfId="68" applyNumberFormat="1" applyBorder="1" applyAlignment="1" applyProtection="1">
      <alignment horizontal="center"/>
      <protection locked="0"/>
    </xf>
    <xf numFmtId="38" fontId="4" fillId="0" borderId="40" xfId="68" applyNumberFormat="1" applyBorder="1" applyAlignment="1" applyProtection="1">
      <alignment horizontal="center"/>
      <protection locked="0"/>
    </xf>
    <xf numFmtId="38" fontId="4" fillId="0" borderId="48" xfId="68" applyNumberFormat="1" applyBorder="1" applyAlignment="1" applyProtection="1">
      <alignment horizontal="center"/>
      <protection locked="0"/>
    </xf>
    <xf numFmtId="38" fontId="4" fillId="0" borderId="70" xfId="68" applyNumberFormat="1" applyBorder="1" applyAlignment="1" applyProtection="1">
      <alignment horizontal="center"/>
      <protection locked="0"/>
    </xf>
    <xf numFmtId="38" fontId="4" fillId="0" borderId="29" xfId="68" applyNumberFormat="1" applyBorder="1" applyAlignment="1" applyProtection="1">
      <alignment horizontal="center"/>
      <protection locked="0"/>
    </xf>
    <xf numFmtId="38" fontId="4" fillId="0" borderId="32" xfId="68" applyNumberFormat="1" applyBorder="1" applyAlignment="1" applyProtection="1">
      <alignment horizontal="center"/>
      <protection locked="0"/>
    </xf>
    <xf numFmtId="38" fontId="4" fillId="34" borderId="40" xfId="68" applyNumberFormat="1" applyFill="1" applyBorder="1" applyAlignment="1" applyProtection="1">
      <alignment horizontal="center"/>
      <protection/>
    </xf>
    <xf numFmtId="38" fontId="4" fillId="0" borderId="74" xfId="68" applyNumberFormat="1" applyBorder="1" applyAlignment="1" applyProtection="1">
      <alignment horizontal="center"/>
      <protection locked="0"/>
    </xf>
    <xf numFmtId="38" fontId="4" fillId="0" borderId="81" xfId="68" applyNumberFormat="1" applyBorder="1" applyAlignment="1" applyProtection="1">
      <alignment horizontal="center"/>
      <protection locked="0"/>
    </xf>
    <xf numFmtId="38" fontId="4" fillId="0" borderId="0" xfId="68" applyNumberFormat="1" applyBorder="1" applyAlignment="1">
      <alignment horizontal="center"/>
      <protection/>
    </xf>
    <xf numFmtId="0" fontId="4" fillId="0" borderId="67" xfId="68" applyBorder="1" applyAlignment="1" applyProtection="1">
      <alignment horizontal="center" vertical="top"/>
      <protection locked="0"/>
    </xf>
    <xf numFmtId="0" fontId="4" fillId="0" borderId="81" xfId="68" applyBorder="1" applyAlignment="1" applyProtection="1">
      <alignment horizontal="center" vertical="top"/>
      <protection locked="0"/>
    </xf>
    <xf numFmtId="0" fontId="4" fillId="0" borderId="37" xfId="68" applyBorder="1" applyAlignment="1" applyProtection="1">
      <alignment horizontal="center" vertical="top"/>
      <protection/>
    </xf>
    <xf numFmtId="38" fontId="4" fillId="0" borderId="67" xfId="68" applyNumberFormat="1" applyBorder="1" applyAlignment="1" applyProtection="1">
      <alignment horizontal="center"/>
      <protection locked="0"/>
    </xf>
    <xf numFmtId="38" fontId="4" fillId="0" borderId="51" xfId="68" applyNumberFormat="1" applyBorder="1" applyAlignment="1" applyProtection="1">
      <alignment horizontal="center"/>
      <protection/>
    </xf>
    <xf numFmtId="0" fontId="4" fillId="0" borderId="0" xfId="68" applyBorder="1" applyAlignment="1">
      <alignment horizontal="center"/>
      <protection/>
    </xf>
    <xf numFmtId="0" fontId="4" fillId="0" borderId="0" xfId="68" applyBorder="1" applyAlignment="1" applyProtection="1">
      <alignment horizontal="center"/>
      <protection locked="0"/>
    </xf>
    <xf numFmtId="0" fontId="4" fillId="0" borderId="0" xfId="68" applyAlignment="1" applyProtection="1">
      <alignment horizontal="center"/>
      <protection locked="0"/>
    </xf>
    <xf numFmtId="0" fontId="11" fillId="0" borderId="61" xfId="74" applyFont="1" applyBorder="1" applyAlignment="1">
      <alignment horizontal="left" wrapText="1"/>
      <protection/>
    </xf>
    <xf numFmtId="14" fontId="0" fillId="0" borderId="0" xfId="0" applyNumberFormat="1" applyAlignment="1">
      <alignment/>
    </xf>
    <xf numFmtId="1" fontId="4" fillId="0" borderId="0" xfId="77" applyNumberFormat="1">
      <alignment/>
      <protection/>
    </xf>
    <xf numFmtId="1" fontId="4" fillId="0" borderId="0" xfId="77" applyNumberFormat="1" applyFont="1" applyAlignment="1">
      <alignment horizontal="right"/>
      <protection/>
    </xf>
    <xf numFmtId="14" fontId="4" fillId="37" borderId="0" xfId="77" applyNumberFormat="1" applyFill="1">
      <alignment/>
      <protection/>
    </xf>
    <xf numFmtId="14" fontId="4" fillId="37" borderId="0" xfId="77" applyNumberFormat="1" applyFont="1" applyFill="1" applyAlignment="1">
      <alignment horizontal="right"/>
      <protection/>
    </xf>
    <xf numFmtId="189" fontId="4" fillId="0" borderId="15" xfId="68" applyNumberFormat="1" applyBorder="1" applyAlignment="1" applyProtection="1">
      <alignment horizontal="left"/>
      <protection locked="0"/>
    </xf>
    <xf numFmtId="0" fontId="4" fillId="0" borderId="15" xfId="68" applyFont="1" applyBorder="1" applyAlignment="1" quotePrefix="1">
      <alignment horizontal="left"/>
      <protection/>
    </xf>
    <xf numFmtId="0" fontId="4" fillId="0" borderId="0" xfId="80" applyFont="1" applyBorder="1" applyAlignment="1" quotePrefix="1">
      <alignment horizontal="right"/>
      <protection/>
    </xf>
    <xf numFmtId="0" fontId="8" fillId="0" borderId="60" xfId="64" applyFont="1" applyBorder="1">
      <alignment/>
      <protection/>
    </xf>
    <xf numFmtId="0" fontId="8" fillId="0" borderId="49" xfId="64" applyFont="1" applyBorder="1">
      <alignment/>
      <protection/>
    </xf>
    <xf numFmtId="0" fontId="4" fillId="0" borderId="50" xfId="64" applyBorder="1" applyProtection="1">
      <alignment/>
      <protection locked="0"/>
    </xf>
    <xf numFmtId="0" fontId="8" fillId="0" borderId="59" xfId="64" applyFont="1" applyBorder="1" applyAlignment="1" quotePrefix="1">
      <alignment/>
      <protection/>
    </xf>
    <xf numFmtId="0" fontId="8" fillId="0" borderId="61" xfId="64" applyFont="1" applyBorder="1" applyAlignment="1" applyProtection="1">
      <alignment/>
      <protection/>
    </xf>
    <xf numFmtId="0" fontId="8" fillId="0" borderId="19" xfId="64" applyFont="1" applyBorder="1" applyAlignment="1">
      <alignment horizontal="left"/>
      <protection/>
    </xf>
    <xf numFmtId="0" fontId="8" fillId="0" borderId="10" xfId="64" applyFont="1" applyBorder="1" applyAlignment="1">
      <alignment horizontal="left" vertical="center"/>
      <protection/>
    </xf>
    <xf numFmtId="0" fontId="8" fillId="0" borderId="18" xfId="64" applyFont="1" applyBorder="1" applyAlignment="1">
      <alignment horizontal="left"/>
      <protection/>
    </xf>
    <xf numFmtId="0" fontId="4" fillId="0" borderId="24" xfId="64" applyBorder="1" applyProtection="1">
      <alignment/>
      <protection/>
    </xf>
    <xf numFmtId="0" fontId="13" fillId="0" borderId="15" xfId="64" applyFont="1" applyBorder="1">
      <alignment/>
      <protection/>
    </xf>
    <xf numFmtId="14" fontId="4" fillId="0" borderId="0" xfId="64" applyNumberFormat="1" applyFont="1" applyBorder="1" applyAlignment="1" applyProtection="1">
      <alignment horizontal="left"/>
      <protection/>
    </xf>
    <xf numFmtId="14" fontId="4" fillId="0" borderId="15" xfId="64" applyNumberFormat="1" applyFont="1" applyBorder="1" applyProtection="1">
      <alignment/>
      <protection locked="0"/>
    </xf>
    <xf numFmtId="0" fontId="15" fillId="0" borderId="15" xfId="64" applyFont="1" applyBorder="1" applyAlignment="1" applyProtection="1">
      <alignment horizontal="left" vertical="center"/>
      <protection locked="0"/>
    </xf>
    <xf numFmtId="176" fontId="4" fillId="0" borderId="97" xfId="78" applyNumberFormat="1" applyBorder="1">
      <alignment/>
      <protection/>
    </xf>
    <xf numFmtId="185" fontId="4" fillId="35" borderId="97" xfId="78" applyNumberFormat="1" applyFill="1" applyBorder="1" applyProtection="1">
      <alignment/>
      <protection/>
    </xf>
    <xf numFmtId="176" fontId="4" fillId="0" borderId="98" xfId="78" applyNumberFormat="1" applyBorder="1">
      <alignment/>
      <protection/>
    </xf>
    <xf numFmtId="38" fontId="4" fillId="0" borderId="31" xfId="74" applyNumberFormat="1" applyBorder="1" applyProtection="1">
      <alignment/>
      <protection locked="0"/>
    </xf>
    <xf numFmtId="0" fontId="86" fillId="0" borderId="0" xfId="0" applyFont="1" applyAlignment="1">
      <alignment horizontal="left" readingOrder="1"/>
    </xf>
    <xf numFmtId="0" fontId="87" fillId="0" borderId="0" xfId="0" applyFont="1" applyAlignment="1">
      <alignment horizontal="center" readingOrder="1"/>
    </xf>
    <xf numFmtId="0" fontId="86" fillId="0" borderId="0" xfId="0" applyFont="1" applyAlignment="1">
      <alignment/>
    </xf>
    <xf numFmtId="0" fontId="88" fillId="0" borderId="0" xfId="0" applyFont="1" applyAlignment="1">
      <alignment horizontal="right" textRotation="90" readingOrder="1"/>
    </xf>
    <xf numFmtId="0" fontId="4" fillId="0" borderId="0" xfId="77" applyAlignment="1">
      <alignment textRotation="90"/>
      <protection/>
    </xf>
    <xf numFmtId="7" fontId="4" fillId="0" borderId="0" xfId="44" applyNumberFormat="1" applyFont="1" applyBorder="1" applyAlignment="1">
      <alignment/>
    </xf>
    <xf numFmtId="0" fontId="4" fillId="0" borderId="76" xfId="78" applyBorder="1" applyAlignment="1" quotePrefix="1">
      <alignment horizontal="center"/>
      <protection/>
    </xf>
    <xf numFmtId="0" fontId="4" fillId="0" borderId="80" xfId="78" applyBorder="1" applyAlignment="1">
      <alignment horizontal="center"/>
      <protection/>
    </xf>
    <xf numFmtId="0" fontId="4" fillId="0" borderId="77" xfId="78" applyBorder="1" applyAlignment="1">
      <alignment horizontal="centerContinuous"/>
      <protection/>
    </xf>
    <xf numFmtId="0" fontId="4" fillId="0" borderId="77" xfId="78" applyBorder="1" applyAlignment="1">
      <alignment horizontal="center"/>
      <protection/>
    </xf>
    <xf numFmtId="0" fontId="86" fillId="0" borderId="0" xfId="0" applyFont="1" applyBorder="1" applyAlignment="1">
      <alignment horizontal="left" readingOrder="1"/>
    </xf>
    <xf numFmtId="0" fontId="86" fillId="0" borderId="0" xfId="0" applyFont="1" applyBorder="1" applyAlignment="1">
      <alignment/>
    </xf>
    <xf numFmtId="0" fontId="4" fillId="0" borderId="0" xfId="78" applyBorder="1" applyAlignment="1" quotePrefix="1">
      <alignment horizontal="right"/>
      <protection/>
    </xf>
    <xf numFmtId="189" fontId="4" fillId="0" borderId="0" xfId="78" applyNumberFormat="1" applyBorder="1" applyAlignment="1">
      <alignment horizontal="left"/>
      <protection/>
    </xf>
    <xf numFmtId="0" fontId="4" fillId="0" borderId="80" xfId="78" applyBorder="1" applyAlignment="1">
      <alignment horizontal="center" vertical="center" wrapText="1"/>
      <protection/>
    </xf>
    <xf numFmtId="0" fontId="4" fillId="0" borderId="78" xfId="78" applyBorder="1" applyAlignment="1">
      <alignment horizontal="center" vertical="center" wrapText="1"/>
      <protection/>
    </xf>
    <xf numFmtId="0" fontId="4" fillId="0" borderId="15" xfId="68" applyFont="1" applyBorder="1" applyAlignment="1" applyProtection="1">
      <alignment horizontal="left" wrapText="1"/>
      <protection/>
    </xf>
    <xf numFmtId="0" fontId="11" fillId="0" borderId="15" xfId="68" applyFont="1" applyBorder="1" applyAlignment="1" applyProtection="1">
      <alignment horizontal="left" wrapText="1"/>
      <protection/>
    </xf>
    <xf numFmtId="0" fontId="4" fillId="0" borderId="77" xfId="78" applyBorder="1" applyAlignment="1" applyProtection="1">
      <alignment horizontal="center" vertical="center" wrapText="1"/>
      <protection/>
    </xf>
    <xf numFmtId="0" fontId="4" fillId="0" borderId="37" xfId="78" applyBorder="1" applyAlignment="1" applyProtection="1">
      <alignment horizontal="center" vertical="top" wrapText="1"/>
      <protection/>
    </xf>
    <xf numFmtId="0" fontId="4" fillId="0" borderId="51" xfId="78" applyBorder="1" applyAlignment="1" applyProtection="1">
      <alignment horizontal="center" vertical="center" wrapText="1"/>
      <protection/>
    </xf>
    <xf numFmtId="0" fontId="4" fillId="0" borderId="51" xfId="78" applyFont="1" applyBorder="1" applyAlignment="1" applyProtection="1">
      <alignment horizontal="center" vertical="center" wrapText="1"/>
      <protection/>
    </xf>
    <xf numFmtId="0" fontId="4" fillId="0" borderId="51" xfId="78" applyBorder="1" applyAlignment="1" applyProtection="1" quotePrefix="1">
      <alignment horizontal="center" vertical="center" wrapText="1"/>
      <protection/>
    </xf>
    <xf numFmtId="0" fontId="4" fillId="0" borderId="51" xfId="78" applyFont="1" applyBorder="1" applyAlignment="1" applyProtection="1" quotePrefix="1">
      <alignment horizontal="center" vertical="center" wrapText="1"/>
      <protection/>
    </xf>
    <xf numFmtId="0" fontId="4" fillId="0" borderId="78" xfId="78" applyBorder="1" applyAlignment="1" applyProtection="1">
      <alignment horizontal="center"/>
      <protection/>
    </xf>
    <xf numFmtId="0" fontId="4" fillId="0" borderId="32" xfId="78" applyBorder="1" applyProtection="1">
      <alignment/>
      <protection/>
    </xf>
    <xf numFmtId="0" fontId="4" fillId="0" borderId="32" xfId="78" applyBorder="1" applyAlignment="1" applyProtection="1" quotePrefix="1">
      <alignment horizontal="center"/>
      <protection/>
    </xf>
    <xf numFmtId="0" fontId="4" fillId="0" borderId="32" xfId="78" applyFont="1" applyBorder="1" applyAlignment="1" applyProtection="1" quotePrefix="1">
      <alignment horizontal="center"/>
      <protection/>
    </xf>
    <xf numFmtId="1" fontId="4" fillId="0" borderId="79" xfId="78" applyNumberFormat="1" applyBorder="1" applyAlignment="1" applyProtection="1" quotePrefix="1">
      <alignment horizontal="center"/>
      <protection/>
    </xf>
    <xf numFmtId="0" fontId="4" fillId="0" borderId="31" xfId="78" applyFont="1" applyBorder="1" applyAlignment="1" applyProtection="1">
      <alignment horizontal="center"/>
      <protection/>
    </xf>
    <xf numFmtId="0" fontId="4" fillId="0" borderId="97" xfId="78" applyBorder="1" applyAlignment="1" applyProtection="1">
      <alignment horizontal="center"/>
      <protection/>
    </xf>
    <xf numFmtId="0" fontId="4" fillId="0" borderId="78" xfId="78" applyBorder="1" applyAlignment="1" applyProtection="1" quotePrefix="1">
      <alignment horizontal="center"/>
      <protection/>
    </xf>
    <xf numFmtId="0" fontId="4" fillId="0" borderId="29" xfId="78" applyFont="1" applyBorder="1" applyAlignment="1" applyProtection="1">
      <alignment horizontal="center"/>
      <protection/>
    </xf>
    <xf numFmtId="0" fontId="4" fillId="0" borderId="29" xfId="78" applyBorder="1" applyProtection="1">
      <alignment/>
      <protection/>
    </xf>
    <xf numFmtId="0" fontId="4" fillId="0" borderId="29" xfId="78" applyFont="1" applyBorder="1" applyAlignment="1" applyProtection="1" quotePrefix="1">
      <alignment horizontal="center"/>
      <protection/>
    </xf>
    <xf numFmtId="0" fontId="4" fillId="0" borderId="78" xfId="78" applyBorder="1" applyProtection="1">
      <alignment/>
      <protection/>
    </xf>
    <xf numFmtId="1" fontId="4" fillId="0" borderId="78" xfId="78" applyNumberFormat="1" applyBorder="1" applyAlignment="1" applyProtection="1" quotePrefix="1">
      <alignment horizontal="center"/>
      <protection/>
    </xf>
    <xf numFmtId="0" fontId="4" fillId="0" borderId="37" xfId="78" applyFont="1" applyBorder="1" applyAlignment="1" applyProtection="1">
      <alignment horizontal="left"/>
      <protection/>
    </xf>
    <xf numFmtId="0" fontId="4" fillId="0" borderId="23" xfId="78" applyFont="1" applyBorder="1" applyAlignment="1" applyProtection="1">
      <alignment horizontal="right"/>
      <protection/>
    </xf>
    <xf numFmtId="0" fontId="4" fillId="0" borderId="25" xfId="78" applyFont="1" applyBorder="1" applyAlignment="1" applyProtection="1">
      <alignment horizontal="right"/>
      <protection/>
    </xf>
    <xf numFmtId="0" fontId="4" fillId="0" borderId="70" xfId="78" applyFont="1" applyBorder="1" applyAlignment="1" applyProtection="1">
      <alignment horizontal="center"/>
      <protection/>
    </xf>
    <xf numFmtId="5" fontId="4" fillId="0" borderId="70" xfId="78" applyNumberFormat="1" applyBorder="1" applyProtection="1">
      <alignment/>
      <protection/>
    </xf>
    <xf numFmtId="0" fontId="4" fillId="0" borderId="99" xfId="78" applyBorder="1" applyAlignment="1" applyProtection="1">
      <alignment horizontal="center"/>
      <protection/>
    </xf>
    <xf numFmtId="0" fontId="4" fillId="0" borderId="76" xfId="78" applyBorder="1" applyAlignment="1" applyProtection="1">
      <alignment horizontal="center"/>
      <protection/>
    </xf>
    <xf numFmtId="7" fontId="4" fillId="0" borderId="70" xfId="44" applyNumberFormat="1" applyFont="1" applyBorder="1" applyAlignment="1" applyProtection="1">
      <alignment/>
      <protection/>
    </xf>
    <xf numFmtId="0" fontId="4" fillId="0" borderId="11" xfId="78" applyBorder="1" applyAlignment="1" quotePrefix="1">
      <alignment horizontal="left"/>
      <protection/>
    </xf>
    <xf numFmtId="0" fontId="4" fillId="0" borderId="99" xfId="78" applyBorder="1" applyAlignment="1">
      <alignment horizontal="center"/>
      <protection/>
    </xf>
    <xf numFmtId="0" fontId="4" fillId="0" borderId="76" xfId="78" applyFont="1" applyBorder="1" applyAlignment="1">
      <alignment horizontal="center"/>
      <protection/>
    </xf>
    <xf numFmtId="185" fontId="4" fillId="35" borderId="100" xfId="78" applyNumberFormat="1" applyFill="1" applyBorder="1" applyProtection="1">
      <alignment/>
      <protection/>
    </xf>
    <xf numFmtId="176" fontId="4" fillId="0" borderId="76" xfId="78" applyNumberFormat="1" applyBorder="1">
      <alignment/>
      <protection/>
    </xf>
    <xf numFmtId="8" fontId="4" fillId="0" borderId="41" xfId="82" applyNumberFormat="1" applyFont="1" applyBorder="1" applyAlignment="1">
      <alignment horizontal="center"/>
      <protection/>
    </xf>
    <xf numFmtId="8" fontId="4" fillId="0" borderId="42" xfId="82" applyNumberFormat="1" applyBorder="1" applyAlignment="1">
      <alignment horizontal="center"/>
      <protection/>
    </xf>
    <xf numFmtId="6" fontId="4" fillId="0" borderId="97" xfId="78" applyNumberFormat="1" applyBorder="1" applyAlignment="1">
      <alignment horizontal="right"/>
      <protection/>
    </xf>
    <xf numFmtId="0" fontId="24" fillId="0" borderId="0" xfId="78" applyFont="1" applyAlignment="1">
      <alignment horizontal="center"/>
      <protection/>
    </xf>
    <xf numFmtId="14" fontId="4" fillId="0" borderId="0" xfId="78" applyNumberFormat="1" applyBorder="1">
      <alignment/>
      <protection/>
    </xf>
    <xf numFmtId="0" fontId="0" fillId="0" borderId="0" xfId="78" applyFont="1" applyAlignment="1">
      <alignment textRotation="90"/>
      <protection/>
    </xf>
    <xf numFmtId="5" fontId="4" fillId="0" borderId="31" xfId="76" applyNumberFormat="1" applyBorder="1">
      <alignment/>
      <protection/>
    </xf>
    <xf numFmtId="0" fontId="4" fillId="0" borderId="101" xfId="77" applyBorder="1" applyAlignment="1">
      <alignment horizontal="center" vertical="center" wrapText="1"/>
      <protection/>
    </xf>
    <xf numFmtId="0" fontId="4" fillId="34" borderId="40" xfId="77" applyFill="1" applyBorder="1">
      <alignment/>
      <protection/>
    </xf>
    <xf numFmtId="0" fontId="4" fillId="0" borderId="50" xfId="77" applyBorder="1">
      <alignment/>
      <protection/>
    </xf>
    <xf numFmtId="14" fontId="4" fillId="0" borderId="31" xfId="78" applyNumberFormat="1" applyBorder="1" applyAlignment="1" applyProtection="1">
      <alignment horizontal="center"/>
      <protection locked="0"/>
    </xf>
    <xf numFmtId="7" fontId="4" fillId="0" borderId="31" xfId="44" applyNumberFormat="1" applyFont="1" applyBorder="1" applyAlignment="1" applyProtection="1">
      <alignment/>
      <protection locked="0"/>
    </xf>
    <xf numFmtId="0" fontId="4" fillId="0" borderId="57" xfId="68" applyBorder="1" applyAlignment="1">
      <alignment horizontal="center"/>
      <protection/>
    </xf>
    <xf numFmtId="0" fontId="4" fillId="0" borderId="64" xfId="68" applyBorder="1">
      <alignment/>
      <protection/>
    </xf>
    <xf numFmtId="0" fontId="4" fillId="0" borderId="65" xfId="68" applyBorder="1">
      <alignment/>
      <protection/>
    </xf>
    <xf numFmtId="38" fontId="4" fillId="0" borderId="64" xfId="68" applyNumberFormat="1" applyBorder="1">
      <alignment/>
      <protection/>
    </xf>
    <xf numFmtId="0" fontId="36" fillId="0" borderId="0" xfId="0" applyFont="1" applyAlignment="1">
      <alignment vertical="center"/>
    </xf>
    <xf numFmtId="0" fontId="16" fillId="0" borderId="15" xfId="68" applyFont="1" applyBorder="1" applyAlignment="1" applyProtection="1">
      <alignment horizontal="left" wrapText="1"/>
      <protection/>
    </xf>
    <xf numFmtId="0" fontId="4" fillId="0" borderId="38" xfId="68" applyFont="1" applyBorder="1" applyAlignment="1">
      <alignment wrapText="1"/>
      <protection/>
    </xf>
    <xf numFmtId="0" fontId="4" fillId="0" borderId="15" xfId="68" applyFont="1" applyBorder="1" applyAlignment="1">
      <alignment wrapText="1"/>
      <protection/>
    </xf>
    <xf numFmtId="38" fontId="4" fillId="0" borderId="16" xfId="68" applyNumberFormat="1" applyFont="1" applyBorder="1" applyProtection="1">
      <alignment/>
      <protection/>
    </xf>
    <xf numFmtId="38" fontId="4" fillId="0" borderId="16" xfId="68" applyNumberFormat="1" applyBorder="1" applyProtection="1">
      <alignment/>
      <protection/>
    </xf>
    <xf numFmtId="37" fontId="4" fillId="0" borderId="40" xfId="68" applyNumberFormat="1" applyFont="1" applyBorder="1" applyAlignment="1" applyProtection="1">
      <alignment horizontal="right"/>
      <protection/>
    </xf>
    <xf numFmtId="38" fontId="4" fillId="38" borderId="0" xfId="68" applyNumberFormat="1" applyFill="1" applyBorder="1" applyAlignment="1" applyProtection="1">
      <alignment/>
      <protection/>
    </xf>
    <xf numFmtId="38" fontId="4" fillId="38" borderId="0" xfId="68" applyNumberFormat="1" applyFill="1" applyBorder="1" applyAlignment="1" applyProtection="1">
      <alignment horizontal="right"/>
      <protection/>
    </xf>
    <xf numFmtId="0" fontId="4" fillId="34" borderId="40" xfId="68" applyFill="1" applyBorder="1" applyProtection="1">
      <alignment/>
      <protection/>
    </xf>
    <xf numFmtId="38" fontId="4" fillId="0" borderId="16" xfId="68" applyNumberFormat="1" applyFill="1" applyBorder="1" applyProtection="1">
      <alignment/>
      <protection/>
    </xf>
    <xf numFmtId="37" fontId="4" fillId="38" borderId="0" xfId="68" applyNumberFormat="1" applyFill="1" applyBorder="1" applyAlignment="1" applyProtection="1">
      <alignment horizontal="right"/>
      <protection/>
    </xf>
    <xf numFmtId="38" fontId="4" fillId="38" borderId="0" xfId="68" applyNumberFormat="1" applyFill="1" applyProtection="1">
      <alignment/>
      <protection/>
    </xf>
    <xf numFmtId="0" fontId="4" fillId="38" borderId="0" xfId="68" applyFill="1">
      <alignment/>
      <protection/>
    </xf>
    <xf numFmtId="0" fontId="37" fillId="0" borderId="0" xfId="78" applyFont="1">
      <alignment/>
      <protection/>
    </xf>
    <xf numFmtId="38" fontId="4" fillId="39" borderId="16" xfId="68" applyNumberFormat="1" applyFont="1" applyFill="1" applyBorder="1" applyProtection="1">
      <alignment/>
      <protection/>
    </xf>
    <xf numFmtId="38" fontId="4" fillId="39" borderId="16" xfId="68" applyNumberFormat="1" applyFill="1" applyBorder="1" applyProtection="1">
      <alignment/>
      <protection/>
    </xf>
    <xf numFmtId="37" fontId="4" fillId="39" borderId="40" xfId="68" applyNumberFormat="1" applyFont="1" applyFill="1" applyBorder="1" applyAlignment="1" applyProtection="1">
      <alignment horizontal="right"/>
      <protection/>
    </xf>
    <xf numFmtId="37" fontId="4" fillId="39" borderId="40" xfId="68" applyNumberFormat="1" applyFont="1" applyFill="1" applyBorder="1" applyAlignment="1" applyProtection="1">
      <alignment horizontal="center"/>
      <protection/>
    </xf>
    <xf numFmtId="1" fontId="14" fillId="0" borderId="15" xfId="68" applyNumberFormat="1" applyFont="1" applyBorder="1" applyProtection="1">
      <alignment/>
      <protection locked="0"/>
    </xf>
    <xf numFmtId="0" fontId="14" fillId="0" borderId="27" xfId="68" applyFont="1" applyBorder="1" applyProtection="1">
      <alignment/>
      <protection/>
    </xf>
    <xf numFmtId="0" fontId="14" fillId="33" borderId="27" xfId="68" applyFont="1" applyFill="1" applyBorder="1" applyProtection="1">
      <alignment/>
      <protection/>
    </xf>
    <xf numFmtId="0" fontId="38" fillId="0" borderId="42" xfId="68" applyFont="1" applyBorder="1" applyProtection="1">
      <alignment/>
      <protection/>
    </xf>
    <xf numFmtId="0" fontId="4" fillId="0" borderId="0" xfId="68" applyFill="1" applyBorder="1" applyAlignment="1">
      <alignment horizontal="center"/>
      <protection/>
    </xf>
    <xf numFmtId="0" fontId="14" fillId="0" borderId="15" xfId="68" applyFont="1" applyBorder="1" applyProtection="1">
      <alignment/>
      <protection/>
    </xf>
    <xf numFmtId="0" fontId="9" fillId="0" borderId="33" xfId="68" applyFont="1" applyBorder="1" applyProtection="1">
      <alignment/>
      <protection/>
    </xf>
    <xf numFmtId="0" fontId="20" fillId="0" borderId="15" xfId="68" applyFont="1" applyBorder="1" applyProtection="1">
      <alignment/>
      <protection/>
    </xf>
    <xf numFmtId="0" fontId="38" fillId="0" borderId="16" xfId="68" applyFont="1" applyBorder="1" applyProtection="1">
      <alignment/>
      <protection/>
    </xf>
    <xf numFmtId="0" fontId="9" fillId="0" borderId="15" xfId="68" applyFont="1" applyBorder="1" applyAlignment="1" applyProtection="1">
      <alignment horizontal="center" wrapText="1"/>
      <protection locked="0"/>
    </xf>
    <xf numFmtId="0" fontId="14" fillId="0" borderId="15" xfId="68" applyFont="1" applyFill="1" applyBorder="1" applyProtection="1">
      <alignment/>
      <protection/>
    </xf>
    <xf numFmtId="0" fontId="14" fillId="0" borderId="27" xfId="68" applyFont="1" applyFill="1" applyBorder="1" applyProtection="1">
      <alignment/>
      <protection/>
    </xf>
    <xf numFmtId="0" fontId="38" fillId="40" borderId="16" xfId="68" applyFont="1" applyFill="1" applyBorder="1" applyProtection="1">
      <alignment/>
      <protection/>
    </xf>
    <xf numFmtId="191" fontId="14" fillId="40" borderId="15" xfId="68" applyNumberFormat="1" applyFont="1" applyFill="1" applyBorder="1" applyProtection="1">
      <alignment/>
      <protection locked="0"/>
    </xf>
    <xf numFmtId="0" fontId="14" fillId="40" borderId="15" xfId="68" applyFont="1" applyFill="1" applyBorder="1" applyProtection="1">
      <alignment/>
      <protection/>
    </xf>
    <xf numFmtId="1" fontId="14" fillId="40" borderId="15" xfId="68" applyNumberFormat="1" applyFont="1" applyFill="1" applyBorder="1" applyProtection="1">
      <alignment/>
      <protection locked="0"/>
    </xf>
    <xf numFmtId="0" fontId="4" fillId="41" borderId="10" xfId="68" applyFill="1" applyBorder="1">
      <alignment/>
      <protection/>
    </xf>
    <xf numFmtId="0" fontId="4" fillId="41" borderId="11" xfId="68" applyFill="1" applyBorder="1">
      <alignment/>
      <protection/>
    </xf>
    <xf numFmtId="0" fontId="4" fillId="41" borderId="11" xfId="68" applyFill="1" applyBorder="1" applyProtection="1">
      <alignment/>
      <protection/>
    </xf>
    <xf numFmtId="0" fontId="4" fillId="41" borderId="13" xfId="68" applyFill="1" applyBorder="1" applyProtection="1">
      <alignment/>
      <protection locked="0"/>
    </xf>
    <xf numFmtId="0" fontId="14" fillId="0" borderId="92" xfId="68" applyFont="1" applyBorder="1" applyAlignment="1" applyProtection="1">
      <alignment horizontal="centerContinuous" wrapText="1"/>
      <protection/>
    </xf>
    <xf numFmtId="0" fontId="14" fillId="0" borderId="55" xfId="68" applyFont="1" applyBorder="1" applyAlignment="1" applyProtection="1">
      <alignment horizontal="center" vertical="center" wrapText="1"/>
      <protection/>
    </xf>
    <xf numFmtId="0" fontId="14" fillId="0" borderId="14" xfId="68" applyFont="1" applyBorder="1" applyAlignment="1" applyProtection="1">
      <alignment horizontal="center"/>
      <protection/>
    </xf>
    <xf numFmtId="0" fontId="4" fillId="0" borderId="18" xfId="64" applyFont="1" applyBorder="1" applyAlignment="1" applyProtection="1" quotePrefix="1">
      <alignment horizontal="left" vertical="top"/>
      <protection/>
    </xf>
    <xf numFmtId="0" fontId="4" fillId="0" borderId="76" xfId="69" applyFont="1" applyBorder="1" applyAlignment="1" applyProtection="1">
      <alignment horizontal="center"/>
      <protection locked="0"/>
    </xf>
    <xf numFmtId="0" fontId="4" fillId="0" borderId="76" xfId="73" applyBorder="1" applyAlignment="1" applyProtection="1">
      <alignment horizontal="center"/>
      <protection locked="0"/>
    </xf>
    <xf numFmtId="0" fontId="0" fillId="0" borderId="76" xfId="0" applyBorder="1" applyAlignment="1" applyProtection="1">
      <alignment/>
      <protection locked="0"/>
    </xf>
    <xf numFmtId="0" fontId="4" fillId="0" borderId="76" xfId="81" applyBorder="1" applyProtection="1">
      <alignment/>
      <protection locked="0"/>
    </xf>
    <xf numFmtId="1" fontId="14" fillId="0" borderId="41" xfId="68" applyNumberFormat="1" applyFont="1" applyBorder="1" applyProtection="1">
      <alignment/>
      <protection/>
    </xf>
    <xf numFmtId="0" fontId="4" fillId="0" borderId="76" xfId="64" applyBorder="1" applyProtection="1">
      <alignment/>
      <protection locked="0"/>
    </xf>
    <xf numFmtId="9" fontId="4" fillId="0" borderId="0" xfId="78" applyNumberFormat="1" applyFill="1" applyAlignment="1" quotePrefix="1">
      <alignment horizontal="right"/>
      <protection/>
    </xf>
    <xf numFmtId="0" fontId="0" fillId="0" borderId="0" xfId="78" applyFont="1" applyBorder="1" applyAlignment="1">
      <alignment horizontal="center" textRotation="90"/>
      <protection/>
    </xf>
    <xf numFmtId="0" fontId="14" fillId="0" borderId="16" xfId="68" applyFont="1" applyBorder="1" applyProtection="1">
      <alignment/>
      <protection/>
    </xf>
    <xf numFmtId="186" fontId="14" fillId="0" borderId="14" xfId="60" applyNumberFormat="1" applyFont="1" applyBorder="1" applyAlignment="1" applyProtection="1">
      <alignment horizontal="left"/>
      <protection/>
    </xf>
    <xf numFmtId="0" fontId="4" fillId="0" borderId="26" xfId="68" applyBorder="1" applyAlignment="1" quotePrefix="1">
      <alignment horizontal="left"/>
      <protection/>
    </xf>
    <xf numFmtId="0" fontId="4" fillId="0" borderId="19" xfId="78" applyBorder="1" applyProtection="1">
      <alignment/>
      <protection/>
    </xf>
    <xf numFmtId="0" fontId="4" fillId="0" borderId="30" xfId="78" applyBorder="1" applyProtection="1">
      <alignment/>
      <protection/>
    </xf>
    <xf numFmtId="0" fontId="4" fillId="42" borderId="31" xfId="78" applyFont="1" applyFill="1" applyBorder="1" applyAlignment="1">
      <alignment horizontal="center" wrapText="1"/>
      <protection/>
    </xf>
    <xf numFmtId="176" fontId="4" fillId="42" borderId="31" xfId="78" applyNumberFormat="1" applyFill="1" applyBorder="1">
      <alignment/>
      <protection/>
    </xf>
    <xf numFmtId="0" fontId="4" fillId="42" borderId="31" xfId="78" applyFont="1" applyFill="1" applyBorder="1" applyAlignment="1">
      <alignment horizontal="center"/>
      <protection/>
    </xf>
    <xf numFmtId="0" fontId="4" fillId="42" borderId="99" xfId="78" applyFill="1" applyBorder="1" applyAlignment="1">
      <alignment horizontal="center"/>
      <protection/>
    </xf>
    <xf numFmtId="7" fontId="4" fillId="42" borderId="31" xfId="44" applyNumberFormat="1" applyFont="1" applyFill="1" applyBorder="1" applyAlignment="1" applyProtection="1">
      <alignment/>
      <protection locked="0"/>
    </xf>
    <xf numFmtId="0" fontId="4" fillId="42" borderId="97" xfId="78" applyFill="1" applyBorder="1" applyAlignment="1" applyProtection="1">
      <alignment horizontal="center"/>
      <protection/>
    </xf>
    <xf numFmtId="0" fontId="24" fillId="42" borderId="0" xfId="78" applyFont="1" applyFill="1" applyAlignment="1">
      <alignment horizontal="centerContinuous"/>
      <protection/>
    </xf>
    <xf numFmtId="0" fontId="4" fillId="42" borderId="79" xfId="78" applyFill="1" applyBorder="1" applyAlignment="1" applyProtection="1" quotePrefix="1">
      <alignment horizontal="center"/>
      <protection/>
    </xf>
    <xf numFmtId="0" fontId="4" fillId="42" borderId="102" xfId="78" applyFont="1" applyFill="1" applyBorder="1" applyAlignment="1" applyProtection="1">
      <alignment horizontal="center"/>
      <protection/>
    </xf>
    <xf numFmtId="5" fontId="4" fillId="42" borderId="31" xfId="78" applyNumberFormat="1" applyFill="1" applyBorder="1" applyProtection="1">
      <alignment/>
      <protection/>
    </xf>
    <xf numFmtId="5" fontId="4" fillId="42" borderId="17" xfId="78" applyNumberFormat="1" applyFill="1" applyBorder="1" applyAlignment="1">
      <alignment horizontal="right"/>
      <protection/>
    </xf>
    <xf numFmtId="3" fontId="4" fillId="42" borderId="17" xfId="78" applyNumberFormat="1" applyFill="1" applyBorder="1" applyAlignment="1">
      <alignment horizontal="center"/>
      <protection/>
    </xf>
    <xf numFmtId="176" fontId="4" fillId="42" borderId="17" xfId="78" applyNumberFormat="1" applyFill="1" applyBorder="1" applyAlignment="1">
      <alignment horizontal="right"/>
      <protection/>
    </xf>
    <xf numFmtId="0" fontId="4" fillId="42" borderId="0" xfId="78" applyFill="1">
      <alignment/>
      <protection/>
    </xf>
    <xf numFmtId="0" fontId="4" fillId="42" borderId="31" xfId="78" applyFont="1" applyFill="1" applyBorder="1" applyAlignment="1" applyProtection="1">
      <alignment horizontal="center"/>
      <protection/>
    </xf>
    <xf numFmtId="0" fontId="4" fillId="42" borderId="0" xfId="78" applyFill="1" applyAlignment="1">
      <alignment horizontal="left"/>
      <protection/>
    </xf>
    <xf numFmtId="0" fontId="4" fillId="42" borderId="0" xfId="78" applyFill="1" applyAlignment="1">
      <alignment horizontal="centerContinuous"/>
      <protection/>
    </xf>
    <xf numFmtId="0" fontId="4" fillId="42" borderId="76" xfId="78" applyFill="1" applyBorder="1" applyAlignment="1">
      <alignment horizontal="left"/>
      <protection/>
    </xf>
    <xf numFmtId="3" fontId="4" fillId="42" borderId="76" xfId="78" applyNumberFormat="1" applyFill="1" applyBorder="1" applyAlignment="1">
      <alignment horizontal="right"/>
      <protection/>
    </xf>
    <xf numFmtId="0" fontId="4" fillId="42" borderId="76" xfId="78" applyFill="1" applyBorder="1">
      <alignment/>
      <protection/>
    </xf>
    <xf numFmtId="3" fontId="4" fillId="42" borderId="76" xfId="78" applyNumberFormat="1" applyFill="1" applyBorder="1">
      <alignment/>
      <protection/>
    </xf>
    <xf numFmtId="0" fontId="8" fillId="0" borderId="0" xfId="68" applyFont="1" applyFill="1" applyBorder="1" applyAlignment="1" quotePrefix="1">
      <alignment horizontal="left"/>
      <protection/>
    </xf>
    <xf numFmtId="38" fontId="8" fillId="0" borderId="0" xfId="68" applyNumberFormat="1" applyFont="1" applyFill="1" applyBorder="1">
      <alignment/>
      <protection/>
    </xf>
    <xf numFmtId="38" fontId="4" fillId="0" borderId="0" xfId="68" applyNumberFormat="1" applyFill="1" applyBorder="1" applyProtection="1">
      <alignment/>
      <protection/>
    </xf>
    <xf numFmtId="38" fontId="4" fillId="0" borderId="0" xfId="68" applyNumberFormat="1" applyFill="1" applyBorder="1" applyAlignment="1" applyProtection="1">
      <alignment horizontal="center"/>
      <protection locked="0"/>
    </xf>
    <xf numFmtId="0" fontId="8" fillId="0" borderId="0" xfId="68" applyFont="1" applyFill="1">
      <alignment/>
      <protection/>
    </xf>
    <xf numFmtId="0" fontId="8" fillId="0" borderId="0" xfId="68" applyFont="1" applyFill="1" applyBorder="1" applyAlignment="1">
      <alignment horizontal="center"/>
      <protection/>
    </xf>
    <xf numFmtId="0" fontId="8" fillId="0" borderId="0" xfId="68" applyFont="1" applyFill="1" applyProtection="1">
      <alignment/>
      <protection/>
    </xf>
    <xf numFmtId="0" fontId="4" fillId="4" borderId="41" xfId="78" applyFill="1" applyBorder="1">
      <alignment/>
      <protection/>
    </xf>
    <xf numFmtId="0" fontId="4" fillId="4" borderId="41" xfId="78" applyFill="1" applyBorder="1" applyAlignment="1">
      <alignment horizontal="centerContinuous"/>
      <protection/>
    </xf>
    <xf numFmtId="176" fontId="4" fillId="4" borderId="41" xfId="78" applyNumberFormat="1" applyFill="1" applyBorder="1" applyAlignment="1">
      <alignment horizontal="centerContinuous"/>
      <protection/>
    </xf>
    <xf numFmtId="0" fontId="4" fillId="4" borderId="41" xfId="78" applyFill="1" applyBorder="1" applyAlignment="1">
      <alignment horizontal="left"/>
      <protection/>
    </xf>
    <xf numFmtId="176" fontId="4" fillId="4" borderId="41" xfId="78" applyNumberFormat="1" applyFill="1" applyBorder="1">
      <alignment/>
      <protection/>
    </xf>
    <xf numFmtId="207" fontId="4" fillId="4" borderId="41" xfId="85" applyNumberFormat="1" applyFont="1" applyFill="1" applyBorder="1" applyAlignment="1">
      <alignment horizontal="center"/>
    </xf>
    <xf numFmtId="165" fontId="4" fillId="4" borderId="41" xfId="78" applyNumberFormat="1" applyFill="1" applyBorder="1" applyAlignment="1">
      <alignment horizontal="centerContinuous"/>
      <protection/>
    </xf>
    <xf numFmtId="0" fontId="4" fillId="0" borderId="0" xfId="70" applyBorder="1" applyProtection="1">
      <alignment/>
      <protection/>
    </xf>
    <xf numFmtId="0" fontId="4" fillId="0" borderId="0" xfId="70" applyFill="1" applyBorder="1" applyAlignment="1" applyProtection="1">
      <alignment horizontal="center"/>
      <protection/>
    </xf>
    <xf numFmtId="0" fontId="14" fillId="42" borderId="31" xfId="78" applyFont="1" applyFill="1" applyBorder="1" applyAlignment="1">
      <alignment horizontal="center" wrapText="1"/>
      <protection/>
    </xf>
    <xf numFmtId="0" fontId="4" fillId="0" borderId="29" xfId="78" applyFont="1" applyBorder="1" applyAlignment="1">
      <alignment horizontal="center" vertical="center" wrapText="1"/>
      <protection/>
    </xf>
    <xf numFmtId="0" fontId="14" fillId="40" borderId="14" xfId="68" applyFont="1" applyFill="1" applyBorder="1" applyAlignment="1" applyProtection="1">
      <alignment horizontal="center"/>
      <protection/>
    </xf>
    <xf numFmtId="2" fontId="14" fillId="40" borderId="17" xfId="68" applyNumberFormat="1" applyFont="1" applyFill="1" applyBorder="1" applyProtection="1">
      <alignment/>
      <protection locked="0"/>
    </xf>
    <xf numFmtId="0" fontId="14" fillId="33" borderId="28" xfId="68" applyFont="1" applyFill="1" applyBorder="1" applyProtection="1">
      <alignment/>
      <protection/>
    </xf>
    <xf numFmtId="0" fontId="4" fillId="41" borderId="22" xfId="68" applyFill="1" applyBorder="1" applyProtection="1">
      <alignment/>
      <protection/>
    </xf>
    <xf numFmtId="0" fontId="4" fillId="41" borderId="23" xfId="68" applyFill="1" applyBorder="1" applyProtection="1">
      <alignment/>
      <protection/>
    </xf>
    <xf numFmtId="0" fontId="4" fillId="41" borderId="25" xfId="68" applyFill="1" applyBorder="1" applyProtection="1">
      <alignment/>
      <protection/>
    </xf>
    <xf numFmtId="38" fontId="19" fillId="0" borderId="16" xfId="70" applyNumberFormat="1" applyFont="1" applyBorder="1" applyAlignment="1" applyProtection="1">
      <alignment horizontal="center" vertical="center"/>
      <protection locked="0"/>
    </xf>
    <xf numFmtId="38" fontId="19" fillId="0" borderId="16" xfId="70" applyNumberFormat="1" applyFont="1" applyBorder="1" applyAlignment="1" applyProtection="1">
      <alignment vertical="center"/>
      <protection locked="0"/>
    </xf>
    <xf numFmtId="38" fontId="19" fillId="0" borderId="31" xfId="70" applyNumberFormat="1" applyFont="1" applyBorder="1" applyAlignment="1" applyProtection="1">
      <alignment vertical="center"/>
      <protection locked="0"/>
    </xf>
    <xf numFmtId="38" fontId="19" fillId="0" borderId="19" xfId="70" applyNumberFormat="1" applyFont="1" applyBorder="1" applyAlignment="1" applyProtection="1">
      <alignment vertical="center"/>
      <protection locked="0"/>
    </xf>
    <xf numFmtId="38" fontId="19" fillId="0" borderId="29" xfId="70" applyNumberFormat="1" applyFont="1" applyBorder="1" applyAlignment="1" applyProtection="1">
      <alignment vertical="center"/>
      <protection locked="0"/>
    </xf>
    <xf numFmtId="38" fontId="19" fillId="43" borderId="32" xfId="70" applyNumberFormat="1" applyFont="1" applyFill="1" applyBorder="1" applyAlignment="1" applyProtection="1">
      <alignment vertical="center"/>
      <protection/>
    </xf>
    <xf numFmtId="38" fontId="19" fillId="0" borderId="0" xfId="70" applyNumberFormat="1" applyFont="1" applyBorder="1" applyAlignment="1" applyProtection="1">
      <alignment horizontal="center"/>
      <protection/>
    </xf>
    <xf numFmtId="0" fontId="19" fillId="0" borderId="0" xfId="70" applyFont="1" applyBorder="1" applyProtection="1">
      <alignment/>
      <protection locked="0"/>
    </xf>
    <xf numFmtId="0" fontId="19" fillId="0" borderId="0" xfId="70" applyFont="1" applyBorder="1" applyAlignment="1" applyProtection="1">
      <alignment horizontal="center"/>
      <protection/>
    </xf>
    <xf numFmtId="38" fontId="19" fillId="0" borderId="0" xfId="70" applyNumberFormat="1" applyFont="1" applyBorder="1" applyProtection="1">
      <alignment/>
      <protection locked="0"/>
    </xf>
    <xf numFmtId="0" fontId="19" fillId="0" borderId="0" xfId="70" applyFont="1" applyProtection="1">
      <alignment/>
      <protection locked="0"/>
    </xf>
    <xf numFmtId="0" fontId="19" fillId="0" borderId="0" xfId="70" applyFont="1">
      <alignment/>
      <protection/>
    </xf>
    <xf numFmtId="0" fontId="19" fillId="0" borderId="0" xfId="70" applyFont="1" applyAlignment="1" applyProtection="1">
      <alignment vertical="center"/>
      <protection locked="0"/>
    </xf>
    <xf numFmtId="0" fontId="19" fillId="0" borderId="0" xfId="70" applyFont="1" applyAlignment="1">
      <alignment vertical="center"/>
      <protection/>
    </xf>
    <xf numFmtId="0" fontId="19" fillId="0" borderId="0" xfId="70" applyFont="1" applyBorder="1" applyAlignment="1" applyProtection="1">
      <alignment horizontal="center"/>
      <protection locked="0"/>
    </xf>
    <xf numFmtId="0" fontId="19" fillId="0" borderId="103" xfId="70" applyFont="1" applyBorder="1" applyAlignment="1" applyProtection="1">
      <alignment horizontal="center" vertical="center"/>
      <protection/>
    </xf>
    <xf numFmtId="0" fontId="19" fillId="0" borderId="14" xfId="70" applyFont="1" applyBorder="1" applyAlignment="1" applyProtection="1">
      <alignment horizontal="center" vertical="center"/>
      <protection/>
    </xf>
    <xf numFmtId="38" fontId="19" fillId="0" borderId="16" xfId="70" applyNumberFormat="1" applyFont="1" applyBorder="1" applyAlignment="1" applyProtection="1">
      <alignment horizontal="right" vertical="center"/>
      <protection locked="0"/>
    </xf>
    <xf numFmtId="38" fontId="19" fillId="0" borderId="31" xfId="70" applyNumberFormat="1" applyFont="1" applyBorder="1" applyAlignment="1" applyProtection="1">
      <alignment horizontal="right" vertical="center"/>
      <protection locked="0"/>
    </xf>
    <xf numFmtId="0" fontId="19" fillId="0" borderId="57" xfId="70" applyFont="1" applyBorder="1" applyAlignment="1" applyProtection="1">
      <alignment horizontal="center" vertical="center"/>
      <protection/>
    </xf>
    <xf numFmtId="0" fontId="19" fillId="0" borderId="0" xfId="70" applyFont="1" applyProtection="1">
      <alignment/>
      <protection/>
    </xf>
    <xf numFmtId="0" fontId="19" fillId="0" borderId="0" xfId="70" applyFont="1" applyAlignment="1" applyProtection="1">
      <alignment horizontal="right"/>
      <protection/>
    </xf>
    <xf numFmtId="189" fontId="19" fillId="0" borderId="15" xfId="70" applyNumberFormat="1" applyFont="1" applyBorder="1" applyAlignment="1" applyProtection="1">
      <alignment horizontal="right"/>
      <protection/>
    </xf>
    <xf numFmtId="0" fontId="19" fillId="0" borderId="0" xfId="70" applyFont="1" applyBorder="1" applyAlignment="1" applyProtection="1">
      <alignment horizontal="right"/>
      <protection/>
    </xf>
    <xf numFmtId="0" fontId="19" fillId="0" borderId="76" xfId="69" applyFont="1" applyBorder="1" applyAlignment="1" applyProtection="1">
      <alignment horizontal="center"/>
      <protection locked="0"/>
    </xf>
    <xf numFmtId="0" fontId="19" fillId="0" borderId="15" xfId="70" applyFont="1" applyBorder="1" applyAlignment="1" applyProtection="1">
      <alignment horizontal="right"/>
      <protection/>
    </xf>
    <xf numFmtId="0" fontId="19" fillId="0" borderId="0" xfId="70" applyFont="1" applyAlignment="1" applyProtection="1" quotePrefix="1">
      <alignment horizontal="left"/>
      <protection/>
    </xf>
    <xf numFmtId="0" fontId="19" fillId="0" borderId="0" xfId="70" applyFont="1" applyBorder="1" applyProtection="1">
      <alignment/>
      <protection/>
    </xf>
    <xf numFmtId="38" fontId="4" fillId="0" borderId="31" xfId="70" applyNumberFormat="1" applyFont="1" applyBorder="1" applyAlignment="1" applyProtection="1">
      <alignment vertical="center" wrapText="1"/>
      <protection locked="0"/>
    </xf>
    <xf numFmtId="38" fontId="19" fillId="0" borderId="16" xfId="70" applyNumberFormat="1" applyFont="1" applyBorder="1" applyAlignment="1" applyProtection="1">
      <alignment horizontal="center" vertical="center" wrapText="1"/>
      <protection locked="0"/>
    </xf>
    <xf numFmtId="0" fontId="19" fillId="0" borderId="16" xfId="70" applyNumberFormat="1" applyFont="1" applyBorder="1" applyAlignment="1" applyProtection="1">
      <alignment horizontal="center" vertical="center" wrapText="1"/>
      <protection locked="0"/>
    </xf>
    <xf numFmtId="0" fontId="19" fillId="44" borderId="18" xfId="70" applyFont="1" applyFill="1" applyBorder="1" applyAlignment="1" applyProtection="1">
      <alignment horizontal="center"/>
      <protection locked="0"/>
    </xf>
    <xf numFmtId="0" fontId="19" fillId="0" borderId="94" xfId="70" applyFont="1" applyBorder="1" applyAlignment="1" applyProtection="1">
      <alignment horizontal="center" vertical="center"/>
      <protection locked="0"/>
    </xf>
    <xf numFmtId="0" fontId="19" fillId="0" borderId="75" xfId="70" applyFont="1" applyBorder="1" applyAlignment="1" applyProtection="1">
      <alignment horizontal="center" vertical="center"/>
      <protection locked="0"/>
    </xf>
    <xf numFmtId="0" fontId="19" fillId="0" borderId="15" xfId="70" applyFont="1" applyBorder="1" applyAlignment="1" applyProtection="1">
      <alignment horizontal="left" vertical="center" wrapText="1"/>
      <protection locked="0"/>
    </xf>
    <xf numFmtId="38" fontId="19" fillId="43" borderId="50" xfId="70" applyNumberFormat="1" applyFont="1" applyFill="1" applyBorder="1" applyAlignment="1" applyProtection="1">
      <alignment vertical="center"/>
      <protection/>
    </xf>
    <xf numFmtId="38" fontId="19" fillId="0" borderId="60" xfId="70" applyNumberFormat="1" applyFont="1" applyBorder="1" applyAlignment="1" applyProtection="1">
      <alignment horizontal="center" vertical="center"/>
      <protection locked="0"/>
    </xf>
    <xf numFmtId="38" fontId="19" fillId="0" borderId="60" xfId="70" applyNumberFormat="1" applyFont="1" applyBorder="1" applyAlignment="1" applyProtection="1">
      <alignment horizontal="right" vertical="center"/>
      <protection locked="0"/>
    </xf>
    <xf numFmtId="38" fontId="19" fillId="0" borderId="74" xfId="70" applyNumberFormat="1" applyFont="1" applyBorder="1" applyAlignment="1" applyProtection="1">
      <alignment horizontal="right" vertical="center"/>
      <protection locked="0"/>
    </xf>
    <xf numFmtId="0" fontId="20" fillId="0" borderId="83" xfId="70" applyFont="1" applyBorder="1" applyAlignment="1" applyProtection="1">
      <alignment horizontal="center" vertical="top" wrapText="1"/>
      <protection/>
    </xf>
    <xf numFmtId="0" fontId="20" fillId="0" borderId="44" xfId="70" applyFont="1" applyBorder="1" applyAlignment="1" applyProtection="1">
      <alignment horizontal="center" vertical="top" wrapText="1"/>
      <protection/>
    </xf>
    <xf numFmtId="0" fontId="20" fillId="0" borderId="44" xfId="70" applyFont="1" applyBorder="1" applyAlignment="1" applyProtection="1" quotePrefix="1">
      <alignment horizontal="center" vertical="top" wrapText="1"/>
      <protection/>
    </xf>
    <xf numFmtId="0" fontId="20" fillId="0" borderId="44" xfId="70" applyFont="1" applyBorder="1" applyAlignment="1" applyProtection="1">
      <alignment horizontal="center" vertical="center" wrapText="1"/>
      <protection/>
    </xf>
    <xf numFmtId="0" fontId="20" fillId="0" borderId="70" xfId="70" applyFont="1" applyBorder="1" applyAlignment="1" applyProtection="1" quotePrefix="1">
      <alignment horizontal="center" vertical="center" wrapText="1"/>
      <protection/>
    </xf>
    <xf numFmtId="0" fontId="20" fillId="0" borderId="44" xfId="70" applyFont="1" applyBorder="1" applyAlignment="1" applyProtection="1">
      <alignment horizontal="center" wrapText="1"/>
      <protection/>
    </xf>
    <xf numFmtId="38" fontId="20" fillId="0" borderId="70" xfId="70" applyNumberFormat="1" applyFont="1" applyBorder="1" applyAlignment="1" applyProtection="1">
      <alignment horizontal="center" wrapText="1"/>
      <protection/>
    </xf>
    <xf numFmtId="0" fontId="20" fillId="0" borderId="76" xfId="70" applyFont="1" applyBorder="1" applyAlignment="1" applyProtection="1" quotePrefix="1">
      <alignment horizontal="center" vertical="center"/>
      <protection/>
    </xf>
    <xf numFmtId="0" fontId="20" fillId="0" borderId="10" xfId="70" applyFont="1" applyBorder="1" applyAlignment="1" applyProtection="1">
      <alignment horizontal="center" wrapText="1"/>
      <protection/>
    </xf>
    <xf numFmtId="0" fontId="20" fillId="0" borderId="16" xfId="70" applyFont="1" applyBorder="1" applyAlignment="1" applyProtection="1">
      <alignment horizontal="left" vertical="center" wrapText="1"/>
      <protection/>
    </xf>
    <xf numFmtId="0" fontId="20" fillId="0" borderId="60" xfId="70" applyFont="1" applyBorder="1" applyAlignment="1" applyProtection="1">
      <alignment horizontal="left" vertical="center" wrapText="1"/>
      <protection/>
    </xf>
    <xf numFmtId="1" fontId="20" fillId="0" borderId="16" xfId="70" applyNumberFormat="1" applyFont="1" applyBorder="1" applyAlignment="1" applyProtection="1">
      <alignment horizontal="center" vertical="center"/>
      <protection/>
    </xf>
    <xf numFmtId="1" fontId="20" fillId="0" borderId="60" xfId="70" applyNumberFormat="1" applyFont="1" applyBorder="1" applyAlignment="1" applyProtection="1">
      <alignment horizontal="center" vertical="center"/>
      <protection/>
    </xf>
    <xf numFmtId="0" fontId="20" fillId="0" borderId="0" xfId="70" applyFont="1" applyProtection="1">
      <alignment/>
      <protection/>
    </xf>
    <xf numFmtId="0" fontId="20" fillId="0" borderId="0" xfId="69" applyFont="1" applyAlignment="1" quotePrefix="1">
      <alignment horizontal="right"/>
      <protection/>
    </xf>
    <xf numFmtId="38" fontId="19" fillId="43" borderId="30" xfId="70" applyNumberFormat="1" applyFont="1" applyFill="1" applyBorder="1" applyAlignment="1" applyProtection="1">
      <alignment vertical="center"/>
      <protection/>
    </xf>
    <xf numFmtId="0" fontId="19" fillId="0" borderId="19" xfId="70" applyNumberFormat="1" applyFont="1" applyBorder="1" applyAlignment="1" applyProtection="1">
      <alignment horizontal="center" vertical="center" wrapText="1"/>
      <protection locked="0"/>
    </xf>
    <xf numFmtId="0" fontId="20" fillId="0" borderId="0" xfId="70" applyFont="1" applyAlignment="1" applyProtection="1">
      <alignment horizontal="center"/>
      <protection/>
    </xf>
    <xf numFmtId="38" fontId="19" fillId="43" borderId="24" xfId="70" applyNumberFormat="1" applyFont="1" applyFill="1" applyBorder="1" applyAlignment="1" applyProtection="1">
      <alignment vertical="center"/>
      <protection/>
    </xf>
    <xf numFmtId="0" fontId="14" fillId="0" borderId="0" xfId="70" applyFont="1" applyBorder="1" applyAlignment="1" applyProtection="1">
      <alignment horizontal="left"/>
      <protection/>
    </xf>
    <xf numFmtId="0" fontId="20" fillId="0" borderId="76" xfId="70" applyFont="1" applyBorder="1" applyAlignment="1" applyProtection="1">
      <alignment horizontal="center" vertical="top" wrapText="1"/>
      <protection/>
    </xf>
    <xf numFmtId="38" fontId="20" fillId="0" borderId="76" xfId="70" applyNumberFormat="1" applyFont="1" applyBorder="1" applyAlignment="1" applyProtection="1" quotePrefix="1">
      <alignment horizontal="right" vertical="center"/>
      <protection locked="0"/>
    </xf>
    <xf numFmtId="38" fontId="20" fillId="0" borderId="76" xfId="70" applyNumberFormat="1" applyFont="1" applyBorder="1" applyAlignment="1" applyProtection="1">
      <alignment vertical="center"/>
      <protection/>
    </xf>
    <xf numFmtId="38" fontId="19" fillId="0" borderId="0" xfId="70" applyNumberFormat="1" applyFont="1" applyBorder="1" applyProtection="1">
      <alignment/>
      <protection/>
    </xf>
    <xf numFmtId="0" fontId="4" fillId="0" borderId="0" xfId="70" applyBorder="1" applyAlignment="1">
      <alignment horizontal="center"/>
      <protection/>
    </xf>
    <xf numFmtId="0" fontId="4" fillId="0" borderId="11" xfId="70" applyBorder="1">
      <alignment/>
      <protection/>
    </xf>
    <xf numFmtId="0" fontId="4" fillId="0" borderId="0" xfId="70" applyBorder="1">
      <alignment/>
      <protection/>
    </xf>
    <xf numFmtId="0" fontId="20" fillId="0" borderId="0" xfId="70" applyFont="1" applyBorder="1" applyAlignment="1" applyProtection="1">
      <alignment horizontal="right"/>
      <protection/>
    </xf>
    <xf numFmtId="0" fontId="19" fillId="0" borderId="11" xfId="70" applyFont="1" applyBorder="1" applyAlignment="1" applyProtection="1">
      <alignment horizontal="center" wrapText="1"/>
      <protection locked="0"/>
    </xf>
    <xf numFmtId="0" fontId="20" fillId="0" borderId="11" xfId="70" applyFont="1" applyBorder="1" applyAlignment="1" applyProtection="1">
      <alignment horizontal="right" wrapText="1"/>
      <protection/>
    </xf>
    <xf numFmtId="0" fontId="0" fillId="0" borderId="0" xfId="0" applyAlignment="1">
      <alignment horizontal="left"/>
    </xf>
    <xf numFmtId="0" fontId="0" fillId="0" borderId="0" xfId="0" applyAlignment="1" quotePrefix="1">
      <alignment/>
    </xf>
    <xf numFmtId="14" fontId="0" fillId="0" borderId="0" xfId="0" applyNumberFormat="1" applyAlignment="1">
      <alignment horizontal="left"/>
    </xf>
    <xf numFmtId="1" fontId="0" fillId="0" borderId="0" xfId="0" applyNumberFormat="1" applyAlignment="1">
      <alignment horizontal="left"/>
    </xf>
    <xf numFmtId="38" fontId="20" fillId="0" borderId="0" xfId="70" applyNumberFormat="1" applyFont="1" applyBorder="1" applyAlignment="1" applyProtection="1">
      <alignment horizontal="center"/>
      <protection locked="0"/>
    </xf>
    <xf numFmtId="38" fontId="19" fillId="0" borderId="0" xfId="70" applyNumberFormat="1" applyFont="1" applyBorder="1" applyAlignment="1" applyProtection="1">
      <alignment horizontal="center"/>
      <protection locked="0"/>
    </xf>
    <xf numFmtId="3" fontId="14" fillId="0" borderId="41" xfId="68" applyNumberFormat="1" applyFont="1" applyBorder="1" applyProtection="1">
      <alignment/>
      <protection/>
    </xf>
    <xf numFmtId="0" fontId="0" fillId="0" borderId="0" xfId="78" applyFont="1" applyAlignment="1">
      <alignment vertical="top" textRotation="90"/>
      <protection/>
    </xf>
    <xf numFmtId="0" fontId="86" fillId="0" borderId="0" xfId="0" applyFont="1" applyAlignment="1">
      <alignment textRotation="90"/>
    </xf>
    <xf numFmtId="0" fontId="0" fillId="0" borderId="0" xfId="0" applyFont="1" applyAlignment="1">
      <alignment/>
    </xf>
    <xf numFmtId="0" fontId="19" fillId="0" borderId="31" xfId="70" applyFont="1" applyBorder="1" applyAlignment="1" applyProtection="1">
      <alignment horizontal="center" vertical="center"/>
      <protection locked="0"/>
    </xf>
    <xf numFmtId="0" fontId="19" fillId="0" borderId="74" xfId="70" applyFont="1" applyBorder="1" applyAlignment="1" applyProtection="1">
      <alignment horizontal="center" vertical="center"/>
      <protection locked="0"/>
    </xf>
    <xf numFmtId="0" fontId="4" fillId="0" borderId="0" xfId="78" applyAlignment="1">
      <alignment horizontal="center" vertical="center" textRotation="90"/>
      <protection/>
    </xf>
    <xf numFmtId="0" fontId="4" fillId="0" borderId="0" xfId="64" applyBorder="1" applyProtection="1">
      <alignment/>
      <protection locked="0"/>
    </xf>
    <xf numFmtId="0" fontId="4" fillId="0" borderId="0" xfId="64" applyBorder="1" applyAlignment="1" applyProtection="1">
      <alignment horizontal="left"/>
      <protection locked="0"/>
    </xf>
    <xf numFmtId="0" fontId="4" fillId="0" borderId="20" xfId="79" applyBorder="1">
      <alignment/>
      <protection/>
    </xf>
    <xf numFmtId="0" fontId="4" fillId="0" borderId="17" xfId="79" applyBorder="1" applyProtection="1">
      <alignment/>
      <protection locked="0"/>
    </xf>
    <xf numFmtId="0" fontId="11" fillId="0" borderId="20" xfId="79" applyFont="1" applyBorder="1" applyAlignment="1" applyProtection="1" quotePrefix="1">
      <alignment horizontal="center" vertical="center" wrapText="1"/>
      <protection/>
    </xf>
    <xf numFmtId="0" fontId="11" fillId="0" borderId="62" xfId="79" applyFont="1" applyBorder="1" applyAlignment="1" applyProtection="1" quotePrefix="1">
      <alignment horizontal="center" vertical="center" wrapText="1"/>
      <protection/>
    </xf>
    <xf numFmtId="0" fontId="4" fillId="0" borderId="34" xfId="79" applyFont="1" applyBorder="1" applyAlignment="1">
      <alignment horizontal="center" wrapText="1"/>
      <protection/>
    </xf>
    <xf numFmtId="0" fontId="4" fillId="0" borderId="34" xfId="79" applyFont="1" applyBorder="1" applyAlignment="1" applyProtection="1" quotePrefix="1">
      <alignment horizontal="left"/>
      <protection/>
    </xf>
    <xf numFmtId="0" fontId="4" fillId="0" borderId="36" xfId="64" applyBorder="1">
      <alignment/>
      <protection/>
    </xf>
    <xf numFmtId="0" fontId="4" fillId="0" borderId="10" xfId="79" applyBorder="1" applyAlignment="1" quotePrefix="1">
      <alignment horizontal="left"/>
      <protection/>
    </xf>
    <xf numFmtId="0" fontId="4" fillId="0" borderId="18" xfId="79" applyBorder="1" applyAlignment="1" quotePrefix="1">
      <alignment horizontal="left" vertical="center"/>
      <protection/>
    </xf>
    <xf numFmtId="0" fontId="4" fillId="0" borderId="18" xfId="79" applyBorder="1" applyAlignment="1" applyProtection="1" quotePrefix="1">
      <alignment horizontal="center"/>
      <protection/>
    </xf>
    <xf numFmtId="0" fontId="4" fillId="0" borderId="18" xfId="79" applyBorder="1" applyAlignment="1">
      <alignment horizontal="left"/>
      <protection/>
    </xf>
    <xf numFmtId="0" fontId="4" fillId="0" borderId="14" xfId="79" applyBorder="1" applyAlignment="1" quotePrefix="1">
      <alignment horizontal="left"/>
      <protection/>
    </xf>
    <xf numFmtId="0" fontId="8" fillId="0" borderId="18" xfId="79" applyFont="1" applyBorder="1" applyAlignment="1" quotePrefix="1">
      <alignment horizontal="left"/>
      <protection/>
    </xf>
    <xf numFmtId="0" fontId="4" fillId="0" borderId="14" xfId="79" applyFont="1" applyBorder="1" applyAlignment="1" applyProtection="1">
      <alignment horizontal="left"/>
      <protection locked="0"/>
    </xf>
    <xf numFmtId="0" fontId="4" fillId="0" borderId="14" xfId="79" applyFont="1" applyBorder="1" applyAlignment="1" applyProtection="1" quotePrefix="1">
      <alignment horizontal="left"/>
      <protection locked="0"/>
    </xf>
    <xf numFmtId="0" fontId="4" fillId="0" borderId="22" xfId="79" applyFont="1" applyBorder="1" applyAlignment="1" applyProtection="1" quotePrefix="1">
      <alignment horizontal="left"/>
      <protection locked="0"/>
    </xf>
    <xf numFmtId="0" fontId="4" fillId="0" borderId="61" xfId="64" applyBorder="1">
      <alignment/>
      <protection/>
    </xf>
    <xf numFmtId="0" fontId="4" fillId="0" borderId="71" xfId="71" applyBorder="1" applyProtection="1">
      <alignment/>
      <protection locked="0"/>
    </xf>
    <xf numFmtId="38" fontId="4" fillId="0" borderId="0" xfId="68" applyNumberFormat="1" applyBorder="1" applyAlignment="1" applyProtection="1">
      <alignment horizontal="center"/>
      <protection locked="0"/>
    </xf>
    <xf numFmtId="0" fontId="8" fillId="0" borderId="22" xfId="68" applyFont="1" applyBorder="1">
      <alignment/>
      <protection/>
    </xf>
    <xf numFmtId="0" fontId="17" fillId="0" borderId="23" xfId="66" applyFont="1" applyBorder="1" applyAlignment="1">
      <alignment horizontal="right" vertical="top"/>
      <protection/>
    </xf>
    <xf numFmtId="38" fontId="4" fillId="0" borderId="25" xfId="68" applyNumberFormat="1" applyBorder="1" applyAlignment="1" applyProtection="1">
      <alignment horizontal="center"/>
      <protection locked="0"/>
    </xf>
    <xf numFmtId="0" fontId="8" fillId="0" borderId="34" xfId="68" applyFont="1" applyBorder="1">
      <alignment/>
      <protection/>
    </xf>
    <xf numFmtId="0" fontId="6" fillId="0" borderId="34" xfId="66" applyFont="1" applyBorder="1" applyAlignment="1">
      <alignment horizontal="right"/>
      <protection/>
    </xf>
    <xf numFmtId="38" fontId="4" fillId="0" borderId="36" xfId="68" applyNumberFormat="1" applyBorder="1" applyAlignment="1" applyProtection="1">
      <alignment horizontal="center"/>
      <protection locked="0"/>
    </xf>
    <xf numFmtId="0" fontId="8" fillId="0" borderId="15" xfId="68" applyFont="1" applyBorder="1">
      <alignment/>
      <protection/>
    </xf>
    <xf numFmtId="0" fontId="6" fillId="0" borderId="15" xfId="66" applyFont="1" applyBorder="1" applyAlignment="1" quotePrefix="1">
      <alignment horizontal="right"/>
      <protection/>
    </xf>
    <xf numFmtId="38" fontId="4" fillId="0" borderId="17" xfId="68" applyNumberFormat="1" applyBorder="1" applyAlignment="1" applyProtection="1">
      <alignment horizontal="center"/>
      <protection locked="0"/>
    </xf>
    <xf numFmtId="2" fontId="13" fillId="0" borderId="76" xfId="66" applyNumberFormat="1" applyFont="1" applyBorder="1" applyAlignment="1" applyProtection="1">
      <alignment horizontal="centerContinuous"/>
      <protection locked="0"/>
    </xf>
    <xf numFmtId="0" fontId="4" fillId="33" borderId="72" xfId="68" applyFill="1" applyBorder="1" applyProtection="1">
      <alignment/>
      <protection locked="0"/>
    </xf>
    <xf numFmtId="2" fontId="13" fillId="0" borderId="78" xfId="66" applyNumberFormat="1" applyFont="1" applyBorder="1" applyAlignment="1" applyProtection="1">
      <alignment horizontal="centerContinuous"/>
      <protection locked="0"/>
    </xf>
    <xf numFmtId="0" fontId="4" fillId="33" borderId="55" xfId="68" applyFill="1" applyBorder="1" applyProtection="1">
      <alignment/>
      <protection locked="0"/>
    </xf>
    <xf numFmtId="0" fontId="24" fillId="0" borderId="0" xfId="68" applyFont="1" applyAlignment="1">
      <alignment horizontal="centerContinuous"/>
      <protection/>
    </xf>
    <xf numFmtId="0" fontId="19" fillId="0" borderId="0" xfId="68" applyFont="1" applyBorder="1" applyAlignment="1" quotePrefix="1">
      <alignment horizontal="left"/>
      <protection/>
    </xf>
    <xf numFmtId="38" fontId="4" fillId="0" borderId="0" xfId="68" applyNumberFormat="1" applyFill="1" applyBorder="1" applyProtection="1">
      <alignment/>
      <protection locked="0"/>
    </xf>
    <xf numFmtId="37" fontId="4" fillId="34" borderId="0" xfId="68" applyNumberFormat="1" applyFill="1" applyBorder="1" applyAlignment="1" applyProtection="1">
      <alignment horizontal="right"/>
      <protection locked="0"/>
    </xf>
    <xf numFmtId="37" fontId="4" fillId="34" borderId="0" xfId="68" applyNumberFormat="1" applyFill="1" applyBorder="1" applyAlignment="1" applyProtection="1">
      <alignment horizontal="center"/>
      <protection locked="0"/>
    </xf>
    <xf numFmtId="37" fontId="4" fillId="0" borderId="0" xfId="68" applyNumberFormat="1" applyFill="1" applyBorder="1" applyAlignment="1" applyProtection="1">
      <alignment horizontal="right"/>
      <protection locked="0"/>
    </xf>
    <xf numFmtId="0" fontId="8" fillId="0" borderId="0" xfId="68" applyFont="1" applyBorder="1" applyAlignment="1">
      <alignment horizontal="center" vertical="top"/>
      <protection/>
    </xf>
    <xf numFmtId="38" fontId="8" fillId="0" borderId="0" xfId="68" applyNumberFormat="1" applyFont="1" applyBorder="1" applyAlignment="1">
      <alignment horizontal="right"/>
      <protection/>
    </xf>
    <xf numFmtId="38" fontId="8" fillId="0" borderId="0" xfId="68" applyNumberFormat="1" applyFont="1" applyBorder="1" applyAlignment="1" applyProtection="1">
      <alignment horizontal="right"/>
      <protection locked="0"/>
    </xf>
    <xf numFmtId="0" fontId="8" fillId="34" borderId="0" xfId="68" applyFont="1" applyFill="1" applyBorder="1">
      <alignment/>
      <protection/>
    </xf>
    <xf numFmtId="38" fontId="4" fillId="0" borderId="0" xfId="68" applyNumberFormat="1" applyFill="1" applyBorder="1" applyAlignment="1">
      <alignment horizontal="right"/>
      <protection/>
    </xf>
    <xf numFmtId="0" fontId="20" fillId="0" borderId="83" xfId="68" applyFont="1" applyBorder="1" applyAlignment="1" quotePrefix="1">
      <alignment horizontal="left"/>
      <protection/>
    </xf>
    <xf numFmtId="0" fontId="4" fillId="0" borderId="71" xfId="68" applyBorder="1">
      <alignment/>
      <protection/>
    </xf>
    <xf numFmtId="0" fontId="4" fillId="0" borderId="83" xfId="68" applyBorder="1" applyAlignment="1">
      <alignment horizontal="center"/>
      <protection/>
    </xf>
    <xf numFmtId="38" fontId="4" fillId="0" borderId="44" xfId="68" applyNumberFormat="1" applyBorder="1" applyAlignment="1">
      <alignment/>
      <protection/>
    </xf>
    <xf numFmtId="0" fontId="4" fillId="33" borderId="44" xfId="68" applyFill="1" applyBorder="1" applyAlignment="1">
      <alignment horizontal="center"/>
      <protection/>
    </xf>
    <xf numFmtId="0" fontId="4" fillId="0" borderId="0" xfId="68" applyFill="1">
      <alignment/>
      <protection/>
    </xf>
    <xf numFmtId="0" fontId="4" fillId="0" borderId="0" xfId="68" applyFill="1" applyBorder="1" applyProtection="1">
      <alignment/>
      <protection/>
    </xf>
    <xf numFmtId="0" fontId="4" fillId="0" borderId="0" xfId="68" applyFill="1" applyProtection="1">
      <alignment/>
      <protection/>
    </xf>
    <xf numFmtId="0" fontId="16" fillId="0" borderId="0" xfId="68" applyFont="1" applyBorder="1" applyAlignment="1" applyProtection="1">
      <alignment horizontal="left"/>
      <protection locked="0"/>
    </xf>
    <xf numFmtId="0" fontId="14" fillId="33" borderId="0" xfId="68" applyFont="1" applyFill="1" applyBorder="1" applyProtection="1">
      <alignment/>
      <protection/>
    </xf>
    <xf numFmtId="186" fontId="14" fillId="0" borderId="18" xfId="60" applyNumberFormat="1" applyFont="1" applyBorder="1" applyAlignment="1" applyProtection="1">
      <alignment horizontal="left"/>
      <protection/>
    </xf>
    <xf numFmtId="0" fontId="14" fillId="0" borderId="61" xfId="68" applyFont="1" applyBorder="1" applyProtection="1">
      <alignment/>
      <protection/>
    </xf>
    <xf numFmtId="0" fontId="14" fillId="0" borderId="61" xfId="68" applyFont="1" applyFill="1" applyBorder="1" applyProtection="1">
      <alignment/>
      <protection/>
    </xf>
    <xf numFmtId="1" fontId="14" fillId="0" borderId="61" xfId="68" applyNumberFormat="1" applyFont="1" applyBorder="1" applyProtection="1">
      <alignment/>
      <protection locked="0"/>
    </xf>
    <xf numFmtId="0" fontId="14" fillId="39" borderId="0" xfId="68" applyFont="1" applyFill="1" applyBorder="1" applyProtection="1">
      <alignment/>
      <protection/>
    </xf>
    <xf numFmtId="14" fontId="14" fillId="39" borderId="0" xfId="68" applyNumberFormat="1" applyFont="1" applyFill="1" applyBorder="1" applyProtection="1">
      <alignment/>
      <protection/>
    </xf>
    <xf numFmtId="0" fontId="14" fillId="33" borderId="45" xfId="68" applyFont="1" applyFill="1" applyBorder="1" applyProtection="1">
      <alignment/>
      <protection/>
    </xf>
    <xf numFmtId="14" fontId="14" fillId="0" borderId="76" xfId="68" applyNumberFormat="1" applyFont="1" applyFill="1" applyBorder="1" applyProtection="1">
      <alignment/>
      <protection locked="0"/>
    </xf>
    <xf numFmtId="0" fontId="14" fillId="33" borderId="83" xfId="68" applyFont="1" applyFill="1" applyBorder="1" applyProtection="1">
      <alignment/>
      <protection/>
    </xf>
    <xf numFmtId="3" fontId="14" fillId="39" borderId="71" xfId="68" applyNumberFormat="1" applyFont="1" applyFill="1" applyBorder="1" applyProtection="1">
      <alignment/>
      <protection/>
    </xf>
    <xf numFmtId="38" fontId="4" fillId="0" borderId="50" xfId="68" applyNumberFormat="1" applyBorder="1">
      <alignment/>
      <protection/>
    </xf>
    <xf numFmtId="0" fontId="19" fillId="0" borderId="30" xfId="68" applyFont="1" applyBorder="1" applyAlignment="1" quotePrefix="1">
      <alignment horizontal="left"/>
      <protection/>
    </xf>
    <xf numFmtId="0" fontId="4" fillId="33" borderId="24" xfId="68" applyFill="1" applyBorder="1" applyAlignment="1" applyProtection="1">
      <alignment/>
      <protection locked="0"/>
    </xf>
    <xf numFmtId="0" fontId="4" fillId="0" borderId="0" xfId="68" applyFill="1" applyBorder="1" applyProtection="1">
      <alignment/>
      <protection locked="0"/>
    </xf>
    <xf numFmtId="38" fontId="4" fillId="0" borderId="44" xfId="68" applyNumberFormat="1" applyBorder="1">
      <alignment/>
      <protection/>
    </xf>
    <xf numFmtId="38" fontId="4" fillId="0" borderId="46" xfId="68" applyNumberFormat="1" applyBorder="1">
      <alignment/>
      <protection/>
    </xf>
    <xf numFmtId="0" fontId="4" fillId="33" borderId="69" xfId="68" applyFill="1" applyBorder="1" applyProtection="1">
      <alignment/>
      <protection locked="0"/>
    </xf>
    <xf numFmtId="0" fontId="20" fillId="0" borderId="44" xfId="68" applyFont="1" applyBorder="1" applyAlignment="1" quotePrefix="1">
      <alignment horizontal="left"/>
      <protection/>
    </xf>
    <xf numFmtId="0" fontId="20" fillId="0" borderId="44" xfId="68" applyFont="1" applyBorder="1" applyAlignment="1">
      <alignment horizontal="left"/>
      <protection/>
    </xf>
    <xf numFmtId="0" fontId="20" fillId="0" borderId="30" xfId="68" applyFont="1" applyBorder="1" applyAlignment="1" quotePrefix="1">
      <alignment horizontal="left" vertical="center"/>
      <protection/>
    </xf>
    <xf numFmtId="0" fontId="24" fillId="0" borderId="0" xfId="68" applyFont="1" applyAlignment="1" applyProtection="1">
      <alignment horizontal="centerContinuous"/>
      <protection locked="0"/>
    </xf>
    <xf numFmtId="0" fontId="24" fillId="0" borderId="0" xfId="68" applyFont="1" applyAlignment="1">
      <alignment horizontal="center"/>
      <protection/>
    </xf>
    <xf numFmtId="0" fontId="35" fillId="0" borderId="0" xfId="68" applyFont="1" applyFill="1" applyBorder="1">
      <alignment/>
      <protection/>
    </xf>
    <xf numFmtId="0" fontId="35" fillId="0" borderId="0" xfId="68" applyFont="1">
      <alignment/>
      <protection/>
    </xf>
    <xf numFmtId="0" fontId="35" fillId="0" borderId="0" xfId="68" applyFont="1" applyProtection="1">
      <alignment/>
      <protection/>
    </xf>
    <xf numFmtId="0" fontId="19" fillId="0" borderId="64" xfId="68" applyFont="1" applyBorder="1" applyAlignment="1" quotePrefix="1">
      <alignment horizontal="left"/>
      <protection/>
    </xf>
    <xf numFmtId="38" fontId="4" fillId="0" borderId="64" xfId="68" applyNumberFormat="1" applyBorder="1" applyAlignment="1">
      <alignment/>
      <protection/>
    </xf>
    <xf numFmtId="38" fontId="4" fillId="0" borderId="64" xfId="68" applyNumberFormat="1" applyFill="1" applyBorder="1" applyProtection="1">
      <alignment/>
      <protection locked="0"/>
    </xf>
    <xf numFmtId="37" fontId="4" fillId="34" borderId="47" xfId="68" applyNumberFormat="1" applyFill="1" applyBorder="1" applyAlignment="1" applyProtection="1">
      <alignment horizontal="right"/>
      <protection locked="0"/>
    </xf>
    <xf numFmtId="37" fontId="4" fillId="34" borderId="81" xfId="68" applyNumberFormat="1" applyFill="1" applyBorder="1" applyAlignment="1" applyProtection="1">
      <alignment horizontal="center"/>
      <protection locked="0"/>
    </xf>
    <xf numFmtId="0" fontId="4" fillId="0" borderId="63" xfId="68" applyBorder="1" applyAlignment="1">
      <alignment/>
      <protection/>
    </xf>
    <xf numFmtId="38" fontId="4" fillId="0" borderId="64" xfId="68" applyNumberFormat="1" applyBorder="1" applyAlignment="1">
      <alignment horizontal="right"/>
      <protection/>
    </xf>
    <xf numFmtId="38" fontId="4" fillId="0" borderId="81" xfId="68" applyNumberFormat="1" applyBorder="1" applyAlignment="1" applyProtection="1">
      <alignment horizontal="right"/>
      <protection locked="0"/>
    </xf>
    <xf numFmtId="0" fontId="20" fillId="0" borderId="65" xfId="68" applyFont="1" applyBorder="1" applyAlignment="1">
      <alignment/>
      <protection/>
    </xf>
    <xf numFmtId="0" fontId="35" fillId="0" borderId="0" xfId="68" applyFont="1" applyAlignment="1">
      <alignment horizontal="centerContinuous"/>
      <protection/>
    </xf>
    <xf numFmtId="0" fontId="35" fillId="0" borderId="0" xfId="68" applyFont="1" applyAlignment="1" applyProtection="1">
      <alignment horizontal="centerContinuous"/>
      <protection locked="0"/>
    </xf>
    <xf numFmtId="0" fontId="35" fillId="0" borderId="0" xfId="68" applyFont="1" applyAlignment="1">
      <alignment horizontal="center"/>
      <protection/>
    </xf>
    <xf numFmtId="0" fontId="25" fillId="0" borderId="0" xfId="68" applyFont="1" applyAlignment="1" applyProtection="1">
      <alignment horizontal="centerContinuous"/>
      <protection locked="0"/>
    </xf>
    <xf numFmtId="0" fontId="25" fillId="0" borderId="0" xfId="68" applyFont="1" applyAlignment="1" applyProtection="1">
      <alignment horizontal="center"/>
      <protection locked="0"/>
    </xf>
    <xf numFmtId="0" fontId="25" fillId="0" borderId="0" xfId="68" applyFont="1" applyProtection="1">
      <alignment/>
      <protection locked="0"/>
    </xf>
    <xf numFmtId="0" fontId="4" fillId="0" borderId="44" xfId="68" applyBorder="1">
      <alignment/>
      <protection/>
    </xf>
    <xf numFmtId="38" fontId="4" fillId="33" borderId="44" xfId="68" applyNumberFormat="1" applyFill="1" applyBorder="1">
      <alignment/>
      <protection/>
    </xf>
    <xf numFmtId="38" fontId="4" fillId="0" borderId="44" xfId="68" applyNumberFormat="1" applyBorder="1" applyProtection="1">
      <alignment/>
      <protection locked="0"/>
    </xf>
    <xf numFmtId="37" fontId="4" fillId="33" borderId="46" xfId="68" applyNumberFormat="1" applyFill="1" applyBorder="1" applyProtection="1">
      <alignment/>
      <protection/>
    </xf>
    <xf numFmtId="38" fontId="4" fillId="0" borderId="44" xfId="68" applyNumberFormat="1" applyBorder="1" applyAlignment="1" applyProtection="1">
      <alignment/>
      <protection/>
    </xf>
    <xf numFmtId="0" fontId="4" fillId="34" borderId="70" xfId="68" applyFill="1" applyBorder="1" applyAlignment="1" applyProtection="1">
      <alignment horizontal="center"/>
      <protection locked="0"/>
    </xf>
    <xf numFmtId="38" fontId="4" fillId="0" borderId="31" xfId="68" applyNumberFormat="1" applyBorder="1" applyAlignment="1" applyProtection="1">
      <alignment horizontal="center"/>
      <protection locked="0"/>
    </xf>
    <xf numFmtId="0" fontId="4" fillId="0" borderId="33" xfId="68" applyBorder="1">
      <alignment/>
      <protection/>
    </xf>
    <xf numFmtId="0" fontId="4" fillId="0" borderId="34" xfId="68" applyBorder="1">
      <alignment/>
      <protection/>
    </xf>
    <xf numFmtId="38" fontId="4" fillId="0" borderId="33" xfId="68" applyNumberFormat="1" applyBorder="1" applyProtection="1">
      <alignment/>
      <protection locked="0"/>
    </xf>
    <xf numFmtId="38" fontId="4" fillId="0" borderId="33" xfId="68" applyNumberFormat="1" applyBorder="1">
      <alignment/>
      <protection/>
    </xf>
    <xf numFmtId="38" fontId="4" fillId="33" borderId="101" xfId="68" applyNumberFormat="1" applyFill="1" applyBorder="1" applyProtection="1">
      <alignment/>
      <protection/>
    </xf>
    <xf numFmtId="0" fontId="19" fillId="0" borderId="33" xfId="68" applyFont="1" applyBorder="1" applyAlignment="1">
      <alignment horizontal="left"/>
      <protection/>
    </xf>
    <xf numFmtId="0" fontId="4" fillId="33" borderId="33" xfId="68" applyFill="1" applyBorder="1" applyAlignment="1">
      <alignment/>
      <protection/>
    </xf>
    <xf numFmtId="0" fontId="4" fillId="33" borderId="101" xfId="68" applyFill="1" applyBorder="1" applyAlignment="1" applyProtection="1">
      <alignment horizontal="right"/>
      <protection/>
    </xf>
    <xf numFmtId="0" fontId="23" fillId="0" borderId="0" xfId="70" applyFont="1" applyAlignment="1" applyProtection="1">
      <alignment vertical="center" wrapText="1"/>
      <protection/>
    </xf>
    <xf numFmtId="0" fontId="66" fillId="0" borderId="76" xfId="58" applyFont="1" applyBorder="1" applyAlignment="1" applyProtection="1">
      <alignment horizontal="center" wrapText="1"/>
      <protection/>
    </xf>
    <xf numFmtId="0" fontId="66" fillId="0" borderId="76" xfId="58" applyFont="1" applyBorder="1" applyAlignment="1" applyProtection="1">
      <alignment horizontal="center" vertical="center" wrapText="1"/>
      <protection/>
    </xf>
    <xf numFmtId="0" fontId="66" fillId="0" borderId="76" xfId="58" applyFont="1" applyBorder="1" applyAlignment="1" applyProtection="1">
      <alignment horizontal="left" wrapText="1"/>
      <protection/>
    </xf>
    <xf numFmtId="1" fontId="66" fillId="0" borderId="76" xfId="58" applyNumberFormat="1" applyFont="1" applyBorder="1" applyAlignment="1" applyProtection="1">
      <alignment horizontal="center" vertical="center" wrapText="1"/>
      <protection locked="0"/>
    </xf>
    <xf numFmtId="0" fontId="19" fillId="39" borderId="83" xfId="75" applyFont="1" applyFill="1" applyBorder="1" applyProtection="1">
      <alignment/>
      <protection/>
    </xf>
    <xf numFmtId="10" fontId="66" fillId="0" borderId="76" xfId="85" applyNumberFormat="1" applyFont="1" applyBorder="1" applyAlignment="1" applyProtection="1">
      <alignment/>
      <protection/>
    </xf>
    <xf numFmtId="0" fontId="14" fillId="39" borderId="61" xfId="68" applyFont="1" applyFill="1" applyBorder="1" applyProtection="1">
      <alignment/>
      <protection/>
    </xf>
    <xf numFmtId="0" fontId="14" fillId="33" borderId="61" xfId="68" applyFont="1" applyFill="1" applyBorder="1" applyProtection="1">
      <alignment/>
      <protection/>
    </xf>
    <xf numFmtId="1" fontId="14" fillId="0" borderId="76" xfId="68" applyNumberFormat="1" applyFont="1" applyBorder="1" applyProtection="1">
      <alignment/>
      <protection locked="0"/>
    </xf>
    <xf numFmtId="0" fontId="9" fillId="0" borderId="20" xfId="68" applyFont="1" applyBorder="1" applyAlignment="1" applyProtection="1">
      <alignment horizontal="center" wrapText="1"/>
      <protection locked="0"/>
    </xf>
    <xf numFmtId="3" fontId="14" fillId="0" borderId="76" xfId="68" applyNumberFormat="1" applyFont="1" applyBorder="1" applyProtection="1">
      <alignment/>
      <protection locked="0"/>
    </xf>
    <xf numFmtId="38" fontId="4" fillId="0" borderId="64" xfId="68" applyNumberFormat="1" applyBorder="1" applyAlignment="1" applyProtection="1">
      <alignment/>
      <protection/>
    </xf>
    <xf numFmtId="186" fontId="14" fillId="0" borderId="83" xfId="60" applyNumberFormat="1" applyFont="1" applyBorder="1" applyAlignment="1" applyProtection="1">
      <alignment horizontal="left"/>
      <protection/>
    </xf>
    <xf numFmtId="0" fontId="14" fillId="0" borderId="45" xfId="68" applyFont="1" applyBorder="1" applyProtection="1">
      <alignment/>
      <protection/>
    </xf>
    <xf numFmtId="0" fontId="14" fillId="0" borderId="45" xfId="68" applyFont="1" applyFill="1" applyBorder="1" applyProtection="1">
      <alignment/>
      <protection/>
    </xf>
    <xf numFmtId="1" fontId="14" fillId="0" borderId="45" xfId="68" applyNumberFormat="1" applyFont="1" applyBorder="1" applyProtection="1">
      <alignment/>
      <protection/>
    </xf>
    <xf numFmtId="1" fontId="14" fillId="0" borderId="71" xfId="68" applyNumberFormat="1" applyFont="1" applyBorder="1" applyProtection="1">
      <alignment/>
      <protection locked="0"/>
    </xf>
    <xf numFmtId="3" fontId="14" fillId="0" borderId="76" xfId="68" applyNumberFormat="1" applyFont="1" applyFill="1" applyBorder="1" applyProtection="1">
      <alignment/>
      <protection locked="0"/>
    </xf>
    <xf numFmtId="0" fontId="4" fillId="0" borderId="0" xfId="81" applyAlignment="1" quotePrefix="1">
      <alignment horizontal="center"/>
      <protection/>
    </xf>
    <xf numFmtId="0" fontId="0" fillId="0" borderId="0" xfId="0" applyFont="1" applyAlignment="1">
      <alignment/>
    </xf>
    <xf numFmtId="0" fontId="14" fillId="0" borderId="18" xfId="72" applyFont="1" applyBorder="1" applyAlignment="1" applyProtection="1">
      <alignment horizontal="center"/>
      <protection/>
    </xf>
    <xf numFmtId="0" fontId="14" fillId="0" borderId="11" xfId="72" applyFont="1" applyBorder="1" applyAlignment="1" applyProtection="1">
      <alignment horizontal="center"/>
      <protection/>
    </xf>
    <xf numFmtId="0" fontId="14" fillId="0" borderId="48" xfId="72" applyFont="1" applyBorder="1" applyAlignment="1" applyProtection="1" quotePrefix="1">
      <alignment horizontal="center"/>
      <protection/>
    </xf>
    <xf numFmtId="0" fontId="14" fillId="0" borderId="83" xfId="72" applyFont="1" applyBorder="1" applyAlignment="1" applyProtection="1">
      <alignment horizontal="centerContinuous" vertical="center"/>
      <protection/>
    </xf>
    <xf numFmtId="0" fontId="14" fillId="0" borderId="19" xfId="72" applyFont="1" applyBorder="1" applyAlignment="1" applyProtection="1">
      <alignment horizontal="center"/>
      <protection/>
    </xf>
    <xf numFmtId="0" fontId="14" fillId="0" borderId="48" xfId="72" applyFont="1" applyBorder="1" applyAlignment="1" applyProtection="1">
      <alignment horizontal="center"/>
      <protection/>
    </xf>
    <xf numFmtId="0" fontId="14" fillId="0" borderId="29" xfId="72" applyFont="1" applyBorder="1" applyAlignment="1" applyProtection="1" quotePrefix="1">
      <alignment horizontal="center"/>
      <protection/>
    </xf>
    <xf numFmtId="0" fontId="14" fillId="0" borderId="92" xfId="72" applyFont="1" applyBorder="1" applyAlignment="1" applyProtection="1" quotePrefix="1">
      <alignment horizontal="center" vertical="center"/>
      <protection/>
    </xf>
    <xf numFmtId="0" fontId="14" fillId="0" borderId="12" xfId="72" applyFont="1" applyBorder="1" applyAlignment="1" applyProtection="1" quotePrefix="1">
      <alignment horizontal="center" vertical="center"/>
      <protection/>
    </xf>
    <xf numFmtId="0" fontId="14" fillId="0" borderId="37" xfId="72" applyFont="1" applyBorder="1" applyAlignment="1" applyProtection="1" quotePrefix="1">
      <alignment horizontal="center" vertical="center"/>
      <protection/>
    </xf>
    <xf numFmtId="0" fontId="4" fillId="0" borderId="72" xfId="68" applyBorder="1" applyAlignment="1">
      <alignment horizontal="center"/>
      <protection/>
    </xf>
    <xf numFmtId="0" fontId="4" fillId="0" borderId="94" xfId="68" applyBorder="1" applyAlignment="1">
      <alignment horizontal="center"/>
      <protection/>
    </xf>
    <xf numFmtId="0" fontId="8" fillId="0" borderId="75" xfId="68" applyFont="1" applyBorder="1" applyAlignment="1">
      <alignment horizontal="center"/>
      <protection/>
    </xf>
    <xf numFmtId="0" fontId="11" fillId="0" borderId="47" xfId="68" applyFont="1" applyBorder="1" applyAlignment="1" quotePrefix="1">
      <alignment horizontal="left"/>
      <protection/>
    </xf>
    <xf numFmtId="0" fontId="8" fillId="0" borderId="47" xfId="68" applyFont="1" applyBorder="1" applyAlignment="1" quotePrefix="1">
      <alignment horizontal="left"/>
      <protection/>
    </xf>
    <xf numFmtId="0" fontId="8" fillId="34" borderId="47" xfId="68" applyFont="1" applyFill="1" applyBorder="1">
      <alignment/>
      <protection/>
    </xf>
    <xf numFmtId="0" fontId="8" fillId="0" borderId="47" xfId="68" applyFont="1" applyBorder="1">
      <alignment/>
      <protection/>
    </xf>
    <xf numFmtId="0" fontId="0" fillId="0" borderId="0" xfId="67" applyFont="1">
      <alignment/>
      <protection/>
    </xf>
    <xf numFmtId="0" fontId="40" fillId="0" borderId="0" xfId="75" applyFont="1" applyAlignment="1">
      <alignment horizontal="center"/>
      <protection/>
    </xf>
    <xf numFmtId="0" fontId="11" fillId="0" borderId="23" xfId="66" applyFont="1" applyBorder="1" applyAlignment="1">
      <alignment horizontal="centerContinuous"/>
      <protection/>
    </xf>
    <xf numFmtId="0" fontId="4" fillId="0" borderId="64" xfId="68" applyFont="1" applyBorder="1" applyAlignment="1" quotePrefix="1">
      <alignment horizontal="left"/>
      <protection/>
    </xf>
    <xf numFmtId="38" fontId="4" fillId="33" borderId="47" xfId="68" applyNumberFormat="1" applyFill="1" applyBorder="1" applyAlignment="1" applyProtection="1">
      <alignment horizontal="right"/>
      <protection/>
    </xf>
    <xf numFmtId="0" fontId="4" fillId="0" borderId="15" xfId="79" applyFont="1" applyBorder="1" applyProtection="1">
      <alignment/>
      <protection locked="0"/>
    </xf>
    <xf numFmtId="0" fontId="4" fillId="0" borderId="58" xfId="79" applyBorder="1" applyAlignment="1">
      <alignment horizontal="left"/>
      <protection/>
    </xf>
    <xf numFmtId="0" fontId="8" fillId="0" borderId="18" xfId="79" applyFont="1" applyBorder="1" applyAlignment="1">
      <alignment horizontal="left"/>
      <protection/>
    </xf>
    <xf numFmtId="0" fontId="14" fillId="0" borderId="0" xfId="71" applyFont="1">
      <alignment/>
      <protection/>
    </xf>
    <xf numFmtId="0" fontId="20" fillId="0" borderId="0" xfId="71" applyFont="1" applyAlignment="1" quotePrefix="1">
      <alignment horizontal="left"/>
      <protection/>
    </xf>
    <xf numFmtId="0" fontId="4" fillId="0" borderId="42" xfId="68" applyNumberFormat="1" applyFill="1" applyBorder="1" applyAlignment="1" applyProtection="1">
      <alignment horizontal="center"/>
      <protection/>
    </xf>
    <xf numFmtId="0" fontId="4" fillId="0" borderId="30" xfId="68" applyNumberFormat="1" applyFill="1" applyBorder="1" applyAlignment="1" applyProtection="1">
      <alignment horizontal="center"/>
      <protection/>
    </xf>
    <xf numFmtId="0" fontId="4" fillId="33" borderId="16" xfId="68" applyFill="1" applyBorder="1" applyProtection="1">
      <alignment/>
      <protection/>
    </xf>
    <xf numFmtId="0" fontId="4" fillId="0" borderId="16" xfId="68" applyNumberFormat="1" applyBorder="1" applyAlignment="1" applyProtection="1">
      <alignment horizontal="center" vertical="top"/>
      <protection/>
    </xf>
    <xf numFmtId="0" fontId="4" fillId="34" borderId="30" xfId="68" applyFill="1" applyBorder="1" applyAlignment="1" applyProtection="1">
      <alignment horizontal="center"/>
      <protection/>
    </xf>
    <xf numFmtId="0" fontId="4" fillId="0" borderId="12" xfId="68" applyFont="1" applyBorder="1" applyAlignment="1" applyProtection="1">
      <alignment horizontal="center" wrapText="1"/>
      <protection/>
    </xf>
    <xf numFmtId="0" fontId="4" fillId="0" borderId="16" xfId="68" applyBorder="1" applyAlignment="1" applyProtection="1">
      <alignment horizontal="center" vertical="center" wrapText="1"/>
      <protection/>
    </xf>
    <xf numFmtId="0" fontId="11" fillId="0" borderId="16" xfId="68" applyFont="1" applyBorder="1" applyAlignment="1" applyProtection="1" quotePrefix="1">
      <alignment horizontal="center" vertical="center" wrapText="1"/>
      <protection/>
    </xf>
    <xf numFmtId="0" fontId="4" fillId="33" borderId="16" xfId="68" applyFill="1" applyBorder="1" applyAlignment="1" applyProtection="1">
      <alignment/>
      <protection/>
    </xf>
    <xf numFmtId="0" fontId="4" fillId="0" borderId="16" xfId="68" applyBorder="1" applyAlignment="1" applyProtection="1">
      <alignment horizontal="center"/>
      <protection/>
    </xf>
    <xf numFmtId="0" fontId="4" fillId="33" borderId="16" xfId="68" applyFill="1" applyBorder="1" applyAlignment="1" applyProtection="1">
      <alignment horizontal="center"/>
      <protection/>
    </xf>
    <xf numFmtId="0" fontId="4" fillId="0" borderId="15" xfId="68" applyBorder="1" applyAlignment="1" applyProtection="1">
      <alignment horizontal="center"/>
      <protection/>
    </xf>
    <xf numFmtId="0" fontId="4" fillId="34" borderId="16" xfId="68" applyFill="1" applyBorder="1" applyAlignment="1" applyProtection="1">
      <alignment horizontal="center"/>
      <protection/>
    </xf>
    <xf numFmtId="0" fontId="4" fillId="33" borderId="15" xfId="68" applyFill="1" applyBorder="1" applyAlignment="1" applyProtection="1">
      <alignment/>
      <protection/>
    </xf>
    <xf numFmtId="0" fontId="4" fillId="0" borderId="15" xfId="68" applyBorder="1" applyAlignment="1" applyProtection="1">
      <alignment horizontal="centerContinuous"/>
      <protection/>
    </xf>
    <xf numFmtId="0" fontId="4" fillId="33" borderId="15" xfId="68" applyFill="1" applyBorder="1" applyAlignment="1" applyProtection="1">
      <alignment horizontal="centerContinuous"/>
      <protection/>
    </xf>
    <xf numFmtId="0" fontId="4" fillId="0" borderId="15" xfId="68" applyBorder="1" applyAlignment="1" applyProtection="1">
      <alignment horizontal="center" vertical="top"/>
      <protection/>
    </xf>
    <xf numFmtId="0" fontId="4" fillId="33" borderId="65" xfId="68" applyFill="1" applyBorder="1" applyAlignment="1" applyProtection="1">
      <alignment horizontal="center"/>
      <protection/>
    </xf>
    <xf numFmtId="0" fontId="8" fillId="0" borderId="0" xfId="68" applyFont="1" applyFill="1" applyBorder="1" applyAlignment="1" applyProtection="1">
      <alignment horizontal="center"/>
      <protection/>
    </xf>
    <xf numFmtId="0" fontId="4" fillId="0" borderId="0" xfId="68" applyBorder="1" applyProtection="1">
      <alignment/>
      <protection/>
    </xf>
    <xf numFmtId="0" fontId="4" fillId="0" borderId="0" xfId="68" applyAlignment="1" applyProtection="1">
      <alignment horizontal="centerContinuous"/>
      <protection/>
    </xf>
    <xf numFmtId="0" fontId="17" fillId="0" borderId="0" xfId="68" applyFont="1" applyAlignment="1" applyProtection="1">
      <alignment horizontal="centerContinuous"/>
      <protection/>
    </xf>
    <xf numFmtId="0" fontId="4" fillId="0" borderId="16" xfId="68" applyBorder="1" applyAlignment="1" applyProtection="1">
      <alignment horizontal="center" wrapText="1"/>
      <protection/>
    </xf>
    <xf numFmtId="0" fontId="4" fillId="0" borderId="15" xfId="68" applyFont="1" applyBorder="1" applyAlignment="1" applyProtection="1">
      <alignment horizontal="center"/>
      <protection/>
    </xf>
    <xf numFmtId="0" fontId="4" fillId="0" borderId="16" xfId="68" applyFill="1" applyBorder="1" applyAlignment="1" applyProtection="1">
      <alignment horizontal="center"/>
      <protection/>
    </xf>
    <xf numFmtId="2" fontId="4" fillId="0" borderId="16" xfId="68" applyNumberFormat="1" applyBorder="1" applyAlignment="1" applyProtection="1">
      <alignment horizontal="center"/>
      <protection/>
    </xf>
    <xf numFmtId="0" fontId="4" fillId="0" borderId="64" xfId="68" applyFill="1" applyBorder="1" applyAlignment="1" applyProtection="1">
      <alignment horizontal="center"/>
      <protection/>
    </xf>
    <xf numFmtId="0" fontId="4" fillId="0" borderId="0" xfId="68" applyFill="1" applyBorder="1" applyAlignment="1" applyProtection="1">
      <alignment horizontal="center"/>
      <protection/>
    </xf>
    <xf numFmtId="0" fontId="24" fillId="0" borderId="0" xfId="68" applyFont="1" applyAlignment="1" applyProtection="1">
      <alignment horizontal="centerContinuous"/>
      <protection/>
    </xf>
    <xf numFmtId="0" fontId="4" fillId="34" borderId="44" xfId="68" applyFill="1" applyBorder="1" applyAlignment="1" applyProtection="1">
      <alignment horizontal="center"/>
      <protection/>
    </xf>
    <xf numFmtId="2" fontId="4" fillId="0" borderId="44" xfId="68" applyNumberFormat="1" applyBorder="1" applyAlignment="1" applyProtection="1">
      <alignment horizontal="center"/>
      <protection/>
    </xf>
    <xf numFmtId="0" fontId="4" fillId="0" borderId="33" xfId="68" applyFill="1" applyBorder="1" applyAlignment="1" applyProtection="1">
      <alignment horizontal="center"/>
      <protection/>
    </xf>
    <xf numFmtId="0" fontId="4" fillId="33" borderId="33" xfId="68" applyFill="1" applyBorder="1" applyProtection="1">
      <alignment/>
      <protection/>
    </xf>
    <xf numFmtId="1" fontId="4" fillId="0" borderId="16" xfId="68" applyNumberFormat="1" applyFill="1" applyBorder="1" applyAlignment="1" applyProtection="1">
      <alignment horizontal="center"/>
      <protection/>
    </xf>
    <xf numFmtId="0" fontId="4" fillId="33" borderId="30" xfId="68" applyFill="1" applyBorder="1" applyAlignment="1" applyProtection="1">
      <alignment horizontal="center"/>
      <protection/>
    </xf>
    <xf numFmtId="0" fontId="4" fillId="34" borderId="19" xfId="68" applyFill="1" applyBorder="1" applyAlignment="1" applyProtection="1">
      <alignment horizontal="center"/>
      <protection/>
    </xf>
    <xf numFmtId="0" fontId="4" fillId="34" borderId="64" xfId="68" applyFill="1" applyBorder="1" applyAlignment="1" applyProtection="1">
      <alignment horizontal="center"/>
      <protection/>
    </xf>
    <xf numFmtId="0" fontId="8" fillId="34" borderId="0" xfId="68" applyFont="1" applyFill="1" applyBorder="1" applyProtection="1">
      <alignment/>
      <protection/>
    </xf>
    <xf numFmtId="2" fontId="4" fillId="0" borderId="16" xfId="68" applyNumberFormat="1" applyFill="1" applyBorder="1" applyAlignment="1" applyProtection="1">
      <alignment horizontal="center"/>
      <protection/>
    </xf>
    <xf numFmtId="2" fontId="4" fillId="34" borderId="19" xfId="68" applyNumberFormat="1" applyFill="1" applyBorder="1" applyAlignment="1" applyProtection="1">
      <alignment horizontal="center"/>
      <protection/>
    </xf>
    <xf numFmtId="0" fontId="8" fillId="34" borderId="16" xfId="68" applyFont="1" applyFill="1" applyBorder="1" applyProtection="1">
      <alignment/>
      <protection/>
    </xf>
    <xf numFmtId="0" fontId="4" fillId="34" borderId="16" xfId="68" applyFont="1" applyFill="1" applyBorder="1" applyAlignment="1" applyProtection="1">
      <alignment horizontal="center"/>
      <protection/>
    </xf>
    <xf numFmtId="1" fontId="4" fillId="0" borderId="16" xfId="68" applyNumberFormat="1" applyBorder="1" applyAlignment="1" applyProtection="1">
      <alignment horizontal="center"/>
      <protection/>
    </xf>
    <xf numFmtId="0" fontId="4" fillId="33" borderId="23" xfId="68" applyFill="1" applyBorder="1" applyProtection="1">
      <alignment/>
      <protection/>
    </xf>
    <xf numFmtId="0" fontId="4" fillId="34" borderId="42" xfId="68" applyFill="1" applyBorder="1" applyAlignment="1" applyProtection="1">
      <alignment horizontal="center"/>
      <protection/>
    </xf>
    <xf numFmtId="1" fontId="4" fillId="0" borderId="16" xfId="85" applyNumberFormat="1" applyFont="1" applyBorder="1" applyAlignment="1" applyProtection="1">
      <alignment horizontal="center"/>
      <protection/>
    </xf>
    <xf numFmtId="0" fontId="4" fillId="33" borderId="64" xfId="68" applyFill="1" applyBorder="1" applyAlignment="1" applyProtection="1">
      <alignment horizontal="center"/>
      <protection/>
    </xf>
    <xf numFmtId="1" fontId="4" fillId="34" borderId="40" xfId="68" applyNumberFormat="1" applyFill="1" applyBorder="1" applyAlignment="1" applyProtection="1">
      <alignment horizontal="center"/>
      <protection/>
    </xf>
    <xf numFmtId="1" fontId="4" fillId="34" borderId="44" xfId="68" applyNumberFormat="1" applyFill="1" applyBorder="1" applyAlignment="1" applyProtection="1">
      <alignment horizontal="center"/>
      <protection/>
    </xf>
    <xf numFmtId="0" fontId="4" fillId="34" borderId="45" xfId="68" applyFill="1" applyBorder="1" applyAlignment="1" applyProtection="1">
      <alignment horizontal="center"/>
      <protection/>
    </xf>
    <xf numFmtId="0" fontId="4" fillId="0" borderId="10" xfId="71" applyBorder="1" applyAlignment="1">
      <alignment horizontal="left"/>
      <protection/>
    </xf>
    <xf numFmtId="0" fontId="4" fillId="0" borderId="34" xfId="71" applyBorder="1" applyAlignment="1">
      <alignment horizontal="center"/>
      <protection/>
    </xf>
    <xf numFmtId="0" fontId="4" fillId="0" borderId="34" xfId="71" applyBorder="1" applyAlignment="1" quotePrefix="1">
      <alignment horizontal="left"/>
      <protection/>
    </xf>
    <xf numFmtId="0" fontId="4" fillId="0" borderId="34" xfId="71" applyBorder="1" applyAlignment="1">
      <alignment horizontal="left"/>
      <protection/>
    </xf>
    <xf numFmtId="0" fontId="4" fillId="0" borderId="64" xfId="71" applyBorder="1" applyAlignment="1">
      <alignment horizontal="right" wrapText="1"/>
      <protection/>
    </xf>
    <xf numFmtId="0" fontId="4" fillId="0" borderId="57" xfId="71" applyBorder="1" applyAlignment="1" quotePrefix="1">
      <alignment horizontal="right" wrapText="1"/>
      <protection/>
    </xf>
    <xf numFmtId="0" fontId="4" fillId="0" borderId="34" xfId="71" applyBorder="1" applyAlignment="1" applyProtection="1">
      <alignment horizontal="right"/>
      <protection locked="0"/>
    </xf>
    <xf numFmtId="0" fontId="4" fillId="0" borderId="72" xfId="72" applyFont="1" applyBorder="1" applyAlignment="1" applyProtection="1" quotePrefix="1">
      <alignment horizontal="left" vertical="center"/>
      <protection locked="0"/>
    </xf>
    <xf numFmtId="0" fontId="4" fillId="0" borderId="101" xfId="72" applyFont="1" applyBorder="1" applyAlignment="1" applyProtection="1">
      <alignment horizontal="center" wrapText="1"/>
      <protection locked="0"/>
    </xf>
    <xf numFmtId="38" fontId="4" fillId="0" borderId="101" xfId="72" applyNumberFormat="1" applyFont="1" applyBorder="1" applyAlignment="1" applyProtection="1">
      <alignment horizontal="right"/>
      <protection locked="0"/>
    </xf>
    <xf numFmtId="38" fontId="4" fillId="0" borderId="101" xfId="42" applyNumberFormat="1" applyFont="1" applyBorder="1" applyAlignment="1" applyProtection="1">
      <alignment horizontal="right" vertical="center"/>
      <protection locked="0"/>
    </xf>
    <xf numFmtId="1" fontId="4" fillId="0" borderId="51" xfId="72" applyNumberFormat="1" applyFont="1" applyBorder="1" applyAlignment="1" applyProtection="1">
      <alignment horizontal="left"/>
      <protection locked="0"/>
    </xf>
    <xf numFmtId="0" fontId="4" fillId="0" borderId="94" xfId="72" applyFont="1" applyBorder="1" applyAlignment="1" applyProtection="1">
      <alignment horizontal="left" vertical="center"/>
      <protection locked="0"/>
    </xf>
    <xf numFmtId="0" fontId="4" fillId="0" borderId="41" xfId="72" applyFont="1" applyBorder="1" applyAlignment="1" applyProtection="1">
      <alignment horizontal="center" wrapText="1"/>
      <protection locked="0"/>
    </xf>
    <xf numFmtId="38" fontId="4" fillId="0" borderId="41" xfId="72" applyNumberFormat="1" applyFont="1" applyBorder="1" applyAlignment="1" applyProtection="1">
      <alignment horizontal="right"/>
      <protection locked="0"/>
    </xf>
    <xf numFmtId="38" fontId="4" fillId="0" borderId="41" xfId="42" applyNumberFormat="1" applyFont="1" applyBorder="1" applyAlignment="1" applyProtection="1">
      <alignment horizontal="right" vertical="center"/>
      <protection locked="0"/>
    </xf>
    <xf numFmtId="1" fontId="4" fillId="0" borderId="67" xfId="72" applyNumberFormat="1" applyFont="1" applyBorder="1" applyAlignment="1" applyProtection="1">
      <alignment horizontal="left"/>
      <protection locked="0"/>
    </xf>
    <xf numFmtId="0" fontId="4" fillId="0" borderId="94" xfId="72" applyFont="1" applyBorder="1" applyAlignment="1" applyProtection="1" quotePrefix="1">
      <alignment horizontal="left" vertical="center"/>
      <protection locked="0"/>
    </xf>
    <xf numFmtId="0" fontId="4" fillId="0" borderId="0" xfId="77" applyBorder="1" applyProtection="1">
      <alignment/>
      <protection locked="0"/>
    </xf>
    <xf numFmtId="1" fontId="4" fillId="0" borderId="0" xfId="77" applyNumberFormat="1" applyBorder="1">
      <alignment/>
      <protection/>
    </xf>
    <xf numFmtId="9" fontId="4" fillId="0" borderId="0" xfId="85" applyFont="1" applyBorder="1" applyAlignment="1">
      <alignment horizontal="right"/>
    </xf>
    <xf numFmtId="0" fontId="4" fillId="0" borderId="0" xfId="77" applyBorder="1">
      <alignment/>
      <protection/>
    </xf>
    <xf numFmtId="0" fontId="4" fillId="0" borderId="67" xfId="77" applyBorder="1" applyAlignment="1" quotePrefix="1">
      <alignment horizontal="center"/>
      <protection/>
    </xf>
    <xf numFmtId="0" fontId="4" fillId="42" borderId="0" xfId="78" applyFill="1" applyBorder="1">
      <alignment/>
      <protection/>
    </xf>
    <xf numFmtId="3" fontId="4" fillId="42" borderId="0" xfId="78" applyNumberFormat="1" applyFill="1" applyBorder="1">
      <alignment/>
      <protection/>
    </xf>
    <xf numFmtId="0" fontId="4" fillId="0" borderId="23" xfId="73" applyFont="1" applyBorder="1">
      <alignment/>
      <protection/>
    </xf>
    <xf numFmtId="0" fontId="41" fillId="0" borderId="104" xfId="61" applyFont="1" applyFill="1" applyBorder="1" applyAlignment="1">
      <alignment wrapText="1"/>
      <protection/>
    </xf>
    <xf numFmtId="0" fontId="41" fillId="0" borderId="104" xfId="61" applyFont="1" applyFill="1" applyBorder="1" applyAlignment="1">
      <alignment horizontal="right" wrapText="1"/>
      <protection/>
    </xf>
    <xf numFmtId="0" fontId="0" fillId="2" borderId="0" xfId="0" applyFill="1" applyAlignment="1">
      <alignment/>
    </xf>
    <xf numFmtId="0" fontId="0" fillId="2" borderId="0" xfId="0" applyFont="1" applyFill="1" applyAlignment="1">
      <alignment/>
    </xf>
    <xf numFmtId="14" fontId="0" fillId="2" borderId="0" xfId="0" applyNumberFormat="1" applyFill="1" applyAlignment="1">
      <alignment/>
    </xf>
    <xf numFmtId="0" fontId="0" fillId="0" borderId="0" xfId="0" applyAlignment="1">
      <alignment wrapText="1"/>
    </xf>
    <xf numFmtId="0" fontId="4" fillId="0" borderId="77" xfId="77" applyBorder="1">
      <alignment/>
      <protection/>
    </xf>
    <xf numFmtId="0" fontId="4" fillId="6" borderId="76" xfId="77" applyFill="1" applyBorder="1">
      <alignment/>
      <protection/>
    </xf>
    <xf numFmtId="0" fontId="8" fillId="6" borderId="76" xfId="77" applyFont="1" applyFill="1" applyBorder="1">
      <alignment/>
      <protection/>
    </xf>
    <xf numFmtId="0" fontId="41" fillId="45" borderId="105" xfId="62" applyFont="1" applyFill="1" applyBorder="1" applyAlignment="1">
      <alignment horizontal="center"/>
      <protection/>
    </xf>
    <xf numFmtId="0" fontId="41" fillId="0" borderId="104" xfId="62" applyFont="1" applyFill="1" applyBorder="1" applyAlignment="1">
      <alignment wrapText="1"/>
      <protection/>
    </xf>
    <xf numFmtId="0" fontId="41" fillId="0" borderId="104" xfId="62" applyFont="1" applyFill="1" applyBorder="1" applyAlignment="1">
      <alignment horizontal="right" wrapText="1"/>
      <protection/>
    </xf>
    <xf numFmtId="0" fontId="42" fillId="0" borderId="0" xfId="62">
      <alignment/>
      <protection/>
    </xf>
    <xf numFmtId="0" fontId="20" fillId="0" borderId="0" xfId="74" applyFont="1" applyAlignment="1">
      <alignment horizontal="center"/>
      <protection/>
    </xf>
    <xf numFmtId="49" fontId="43" fillId="0" borderId="106" xfId="58" applyNumberFormat="1" applyFont="1" applyBorder="1" applyAlignment="1" applyProtection="1">
      <alignment wrapText="1"/>
      <protection/>
    </xf>
    <xf numFmtId="49" fontId="43" fillId="0" borderId="78" xfId="58" applyNumberFormat="1" applyFont="1" applyBorder="1" applyAlignment="1" applyProtection="1">
      <alignment horizontal="center" vertical="center" wrapText="1"/>
      <protection/>
    </xf>
    <xf numFmtId="49" fontId="43" fillId="0" borderId="78" xfId="58" applyNumberFormat="1" applyFont="1" applyBorder="1" applyAlignment="1" applyProtection="1">
      <alignment horizontal="left" wrapText="1"/>
      <protection/>
    </xf>
    <xf numFmtId="49" fontId="43" fillId="0" borderId="76" xfId="58" applyNumberFormat="1" applyFont="1" applyBorder="1" applyAlignment="1" applyProtection="1">
      <alignment horizontal="center" vertical="center" wrapText="1"/>
      <protection/>
    </xf>
    <xf numFmtId="49" fontId="43" fillId="0" borderId="76" xfId="58" applyNumberFormat="1" applyFont="1" applyBorder="1" applyAlignment="1" applyProtection="1">
      <alignment horizontal="left" wrapText="1"/>
      <protection/>
    </xf>
    <xf numFmtId="0" fontId="45" fillId="0" borderId="0" xfId="75" applyFont="1">
      <alignment/>
      <protection/>
    </xf>
    <xf numFmtId="0" fontId="5" fillId="0" borderId="0" xfId="58" applyFont="1" applyBorder="1" applyAlignment="1">
      <alignment/>
      <protection/>
    </xf>
    <xf numFmtId="49" fontId="5" fillId="0" borderId="0" xfId="58" applyNumberFormat="1" applyFont="1" applyBorder="1" applyAlignment="1" applyProtection="1">
      <alignment/>
      <protection/>
    </xf>
    <xf numFmtId="49" fontId="5" fillId="0" borderId="0" xfId="58" applyNumberFormat="1" applyFont="1" applyAlignment="1">
      <alignment/>
      <protection/>
    </xf>
    <xf numFmtId="2" fontId="5" fillId="0" borderId="0" xfId="58" applyNumberFormat="1" applyFont="1" applyAlignment="1">
      <alignment/>
      <protection/>
    </xf>
    <xf numFmtId="0" fontId="5" fillId="0" borderId="0" xfId="58" applyFont="1" applyAlignment="1">
      <alignment/>
      <protection/>
    </xf>
    <xf numFmtId="49" fontId="5" fillId="0" borderId="0" xfId="58" applyNumberFormat="1" applyFont="1" applyAlignment="1">
      <alignment horizontal="center"/>
      <protection/>
    </xf>
    <xf numFmtId="2" fontId="5" fillId="0" borderId="0" xfId="58" applyNumberFormat="1" applyFont="1" applyAlignment="1">
      <alignment horizontal="center"/>
      <protection/>
    </xf>
    <xf numFmtId="49" fontId="4" fillId="0" borderId="0" xfId="0" applyNumberFormat="1" applyFont="1" applyAlignment="1">
      <alignment vertical="center"/>
    </xf>
    <xf numFmtId="0" fontId="20" fillId="0" borderId="0" xfId="70" applyFont="1" applyBorder="1" applyAlignment="1" applyProtection="1">
      <alignment horizontal="left"/>
      <protection/>
    </xf>
    <xf numFmtId="189" fontId="19" fillId="0" borderId="15" xfId="70" applyNumberFormat="1" applyFont="1" applyBorder="1" applyAlignment="1" applyProtection="1">
      <alignment horizontal="center"/>
      <protection/>
    </xf>
    <xf numFmtId="0" fontId="19" fillId="0" borderId="0" xfId="70" applyFont="1" applyFill="1" applyBorder="1" applyAlignment="1" applyProtection="1">
      <alignment horizontal="center"/>
      <protection/>
    </xf>
    <xf numFmtId="0" fontId="19" fillId="0" borderId="15" xfId="70" applyFont="1" applyBorder="1" applyAlignment="1" applyProtection="1">
      <alignment horizontal="center"/>
      <protection/>
    </xf>
    <xf numFmtId="189" fontId="19" fillId="0" borderId="0" xfId="70" applyNumberFormat="1" applyFont="1" applyBorder="1" applyAlignment="1" applyProtection="1">
      <alignment horizontal="center"/>
      <protection/>
    </xf>
    <xf numFmtId="0" fontId="4" fillId="0" borderId="11" xfId="81" applyFont="1" applyBorder="1" applyAlignment="1">
      <alignment horizontal="center" wrapText="1"/>
      <protection/>
    </xf>
    <xf numFmtId="0" fontId="4" fillId="0" borderId="19" xfId="81" applyFont="1" applyBorder="1" applyAlignment="1">
      <alignment horizontal="center" vertical="center" wrapText="1"/>
      <protection/>
    </xf>
    <xf numFmtId="0" fontId="11" fillId="0" borderId="19" xfId="81" applyFont="1" applyBorder="1" applyAlignment="1" quotePrefix="1">
      <alignment horizontal="center" vertical="center" wrapText="1"/>
      <protection/>
    </xf>
    <xf numFmtId="6" fontId="4" fillId="0" borderId="16" xfId="81" applyNumberFormat="1" applyBorder="1">
      <alignment/>
      <protection/>
    </xf>
    <xf numFmtId="6" fontId="4" fillId="0" borderId="30" xfId="81" applyNumberFormat="1" applyBorder="1">
      <alignment/>
      <protection/>
    </xf>
    <xf numFmtId="6" fontId="4" fillId="0" borderId="44" xfId="81" applyNumberFormat="1" applyBorder="1">
      <alignment/>
      <protection/>
    </xf>
    <xf numFmtId="0" fontId="4" fillId="33" borderId="77" xfId="81" applyFont="1" applyFill="1" applyBorder="1" applyAlignment="1">
      <alignment horizontal="center"/>
      <protection/>
    </xf>
    <xf numFmtId="0" fontId="4" fillId="33" borderId="80" xfId="81" applyFont="1" applyFill="1" applyBorder="1" applyAlignment="1">
      <alignment horizontal="center"/>
      <protection/>
    </xf>
    <xf numFmtId="0" fontId="4" fillId="33" borderId="78" xfId="81" applyFont="1" applyFill="1" applyBorder="1" applyAlignment="1">
      <alignment horizontal="center"/>
      <protection/>
    </xf>
    <xf numFmtId="0" fontId="22" fillId="0" borderId="0" xfId="81" applyFont="1" applyAlignment="1">
      <alignment horizontal="center" wrapText="1"/>
      <protection/>
    </xf>
    <xf numFmtId="0" fontId="4" fillId="0" borderId="77" xfId="81" applyFont="1" applyBorder="1" applyAlignment="1">
      <alignment horizontal="center" wrapText="1"/>
      <protection/>
    </xf>
    <xf numFmtId="0" fontId="4" fillId="0" borderId="80" xfId="81" applyBorder="1" applyAlignment="1">
      <alignment horizontal="center" wrapText="1"/>
      <protection/>
    </xf>
    <xf numFmtId="0" fontId="4" fillId="0" borderId="80" xfId="81" applyFont="1" applyBorder="1" applyAlignment="1">
      <alignment horizontal="center" vertical="center" wrapText="1"/>
      <protection/>
    </xf>
    <xf numFmtId="0" fontId="11" fillId="0" borderId="80" xfId="81" applyFont="1" applyBorder="1" applyAlignment="1" quotePrefix="1">
      <alignment horizontal="center" vertical="center" wrapText="1"/>
      <protection/>
    </xf>
    <xf numFmtId="0" fontId="4" fillId="0" borderId="79" xfId="81" applyBorder="1" applyAlignment="1" quotePrefix="1">
      <alignment horizontal="center"/>
      <protection/>
    </xf>
    <xf numFmtId="0" fontId="4" fillId="0" borderId="80" xfId="81" applyBorder="1">
      <alignment/>
      <protection/>
    </xf>
    <xf numFmtId="6" fontId="4" fillId="0" borderId="76" xfId="81" applyNumberFormat="1" applyBorder="1">
      <alignment/>
      <protection/>
    </xf>
    <xf numFmtId="6" fontId="4" fillId="0" borderId="79" xfId="81" applyNumberFormat="1" applyBorder="1" applyProtection="1">
      <alignment/>
      <protection locked="0"/>
    </xf>
    <xf numFmtId="6" fontId="4" fillId="0" borderId="78" xfId="81" applyNumberFormat="1" applyBorder="1" applyProtection="1">
      <alignment/>
      <protection locked="0"/>
    </xf>
    <xf numFmtId="0" fontId="19" fillId="0" borderId="0" xfId="69" applyFont="1" applyAlignment="1" applyProtection="1" quotePrefix="1">
      <alignment horizontal="right"/>
      <protection/>
    </xf>
    <xf numFmtId="0" fontId="19" fillId="0" borderId="0" xfId="69" applyFont="1" applyBorder="1" applyAlignment="1" applyProtection="1" quotePrefix="1">
      <alignment horizontal="right"/>
      <protection/>
    </xf>
    <xf numFmtId="0" fontId="19" fillId="0" borderId="0" xfId="69" applyFont="1" applyBorder="1" applyAlignment="1" applyProtection="1">
      <alignment horizontal="center"/>
      <protection/>
    </xf>
    <xf numFmtId="49" fontId="5" fillId="0" borderId="0" xfId="58" applyNumberFormat="1" applyFont="1" applyAlignment="1" applyProtection="1">
      <alignment/>
      <protection/>
    </xf>
    <xf numFmtId="2" fontId="5" fillId="0" borderId="0" xfId="58" applyNumberFormat="1" applyFont="1" applyAlignment="1" applyProtection="1">
      <alignment/>
      <protection/>
    </xf>
    <xf numFmtId="49" fontId="43" fillId="0" borderId="77" xfId="58" applyNumberFormat="1" applyFont="1" applyBorder="1" applyAlignment="1" applyProtection="1">
      <alignment horizontal="left" wrapText="1"/>
      <protection/>
    </xf>
    <xf numFmtId="2" fontId="43" fillId="0" borderId="77" xfId="58" applyNumberFormat="1" applyFont="1" applyBorder="1" applyAlignment="1" applyProtection="1">
      <alignment horizontal="center" wrapText="1"/>
      <protection/>
    </xf>
    <xf numFmtId="49" fontId="43" fillId="0" borderId="77" xfId="58" applyNumberFormat="1" applyFont="1" applyBorder="1" applyAlignment="1" applyProtection="1">
      <alignment horizontal="center" wrapText="1"/>
      <protection/>
    </xf>
    <xf numFmtId="49" fontId="43" fillId="0" borderId="77" xfId="58" applyNumberFormat="1" applyFont="1" applyBorder="1" applyAlignment="1" applyProtection="1">
      <alignment horizontal="center" wrapText="1"/>
      <protection/>
    </xf>
    <xf numFmtId="49" fontId="43" fillId="46" borderId="76" xfId="58" applyNumberFormat="1" applyFont="1" applyFill="1" applyBorder="1" applyAlignment="1" applyProtection="1">
      <alignment horizontal="center" wrapText="1"/>
      <protection/>
    </xf>
    <xf numFmtId="49" fontId="43" fillId="46" borderId="76" xfId="58" applyNumberFormat="1" applyFont="1" applyFill="1" applyBorder="1" applyAlignment="1" applyProtection="1">
      <alignment wrapText="1"/>
      <protection/>
    </xf>
    <xf numFmtId="0" fontId="0" fillId="0" borderId="76" xfId="0" applyBorder="1" applyAlignment="1">
      <alignment/>
    </xf>
    <xf numFmtId="0" fontId="0" fillId="0" borderId="76" xfId="0" applyBorder="1" applyAlignment="1" applyProtection="1">
      <alignment/>
      <protection/>
    </xf>
    <xf numFmtId="0" fontId="41" fillId="0" borderId="104" xfId="63" applyFont="1" applyFill="1" applyBorder="1" applyAlignment="1">
      <alignment horizontal="right" wrapText="1"/>
      <protection/>
    </xf>
    <xf numFmtId="0" fontId="41" fillId="0" borderId="104" xfId="63" applyFont="1" applyFill="1" applyBorder="1" applyAlignment="1">
      <alignment wrapText="1"/>
      <protection/>
    </xf>
    <xf numFmtId="209" fontId="41" fillId="0" borderId="104" xfId="63" applyNumberFormat="1" applyFont="1" applyFill="1" applyBorder="1" applyAlignment="1">
      <alignment horizontal="right" wrapText="1"/>
      <protection/>
    </xf>
    <xf numFmtId="0" fontId="46" fillId="0" borderId="107" xfId="63" applyFont="1" applyFill="1" applyBorder="1" applyAlignment="1">
      <alignment horizontal="right" wrapText="1"/>
      <protection/>
    </xf>
    <xf numFmtId="0" fontId="46" fillId="0" borderId="104" xfId="63" applyFont="1" applyFill="1" applyBorder="1" applyAlignment="1">
      <alignment horizontal="right" wrapText="1"/>
      <protection/>
    </xf>
    <xf numFmtId="0" fontId="46" fillId="0" borderId="104" xfId="63" applyFont="1" applyFill="1" applyBorder="1" applyAlignment="1">
      <alignment wrapText="1"/>
      <protection/>
    </xf>
    <xf numFmtId="14" fontId="46" fillId="0" borderId="104" xfId="63" applyNumberFormat="1" applyFont="1" applyFill="1" applyBorder="1" applyAlignment="1">
      <alignment horizontal="right" wrapText="1"/>
      <protection/>
    </xf>
    <xf numFmtId="14" fontId="46" fillId="0" borderId="108" xfId="63" applyNumberFormat="1" applyFont="1" applyFill="1" applyBorder="1" applyAlignment="1">
      <alignment horizontal="right" wrapText="1"/>
      <protection/>
    </xf>
    <xf numFmtId="0" fontId="46" fillId="0" borderId="109" xfId="63" applyFont="1" applyFill="1" applyBorder="1" applyAlignment="1">
      <alignment horizontal="right" wrapText="1"/>
      <protection/>
    </xf>
    <xf numFmtId="0" fontId="46" fillId="0" borderId="110" xfId="63" applyFont="1" applyFill="1" applyBorder="1" applyAlignment="1">
      <alignment horizontal="right" wrapText="1"/>
      <protection/>
    </xf>
    <xf numFmtId="0" fontId="46" fillId="0" borderId="110" xfId="63" applyFont="1" applyFill="1" applyBorder="1" applyAlignment="1">
      <alignment wrapText="1"/>
      <protection/>
    </xf>
    <xf numFmtId="14" fontId="46" fillId="0" borderId="110" xfId="63" applyNumberFormat="1" applyFont="1" applyFill="1" applyBorder="1" applyAlignment="1">
      <alignment horizontal="right" wrapText="1"/>
      <protection/>
    </xf>
    <xf numFmtId="14" fontId="46" fillId="0" borderId="111" xfId="63" applyNumberFormat="1" applyFont="1" applyFill="1" applyBorder="1" applyAlignment="1">
      <alignment horizontal="right" wrapText="1"/>
      <protection/>
    </xf>
    <xf numFmtId="0" fontId="4" fillId="0" borderId="25" xfId="64" applyNumberFormat="1" applyBorder="1" applyAlignment="1" applyProtection="1">
      <alignment horizontal="right"/>
      <protection/>
    </xf>
    <xf numFmtId="0" fontId="0" fillId="2" borderId="0" xfId="0" applyNumberFormat="1" applyFill="1" applyAlignment="1">
      <alignment/>
    </xf>
    <xf numFmtId="49" fontId="0" fillId="0" borderId="0" xfId="0" applyNumberFormat="1" applyAlignment="1">
      <alignment horizontal="left"/>
    </xf>
    <xf numFmtId="49" fontId="0" fillId="0" borderId="0" xfId="0" applyNumberFormat="1" applyAlignment="1">
      <alignment wrapText="1"/>
    </xf>
    <xf numFmtId="0" fontId="4" fillId="0" borderId="0" xfId="81" applyFont="1" applyBorder="1" applyAlignment="1">
      <alignment horizontal="center" vertical="center"/>
      <protection/>
    </xf>
    <xf numFmtId="0" fontId="4" fillId="0" borderId="48" xfId="81" applyFont="1" applyBorder="1" applyAlignment="1">
      <alignment horizontal="center" vertical="center"/>
      <protection/>
    </xf>
    <xf numFmtId="0" fontId="4" fillId="0" borderId="21" xfId="81" applyFont="1" applyBorder="1" applyAlignment="1">
      <alignment horizontal="center" vertical="center"/>
      <protection/>
    </xf>
    <xf numFmtId="0" fontId="4" fillId="0" borderId="55" xfId="81" applyFont="1" applyBorder="1" applyAlignment="1">
      <alignment horizontal="center" vertical="center"/>
      <protection/>
    </xf>
    <xf numFmtId="0" fontId="4" fillId="0" borderId="56" xfId="81" applyFont="1" applyBorder="1" applyAlignment="1">
      <alignment horizontal="center" vertical="center"/>
      <protection/>
    </xf>
    <xf numFmtId="14" fontId="4" fillId="0" borderId="40" xfId="81" applyNumberFormat="1" applyFont="1" applyBorder="1" applyAlignment="1">
      <alignment horizontal="center" vertical="center"/>
      <protection/>
    </xf>
    <xf numFmtId="14" fontId="4" fillId="0" borderId="31" xfId="81" applyNumberFormat="1" applyFont="1" applyBorder="1" applyAlignment="1">
      <alignment horizontal="center" vertical="center"/>
      <protection/>
    </xf>
    <xf numFmtId="14" fontId="4" fillId="0" borderId="50" xfId="81" applyNumberFormat="1" applyFont="1" applyBorder="1" applyAlignment="1">
      <alignment horizontal="center" vertical="center"/>
      <protection/>
    </xf>
    <xf numFmtId="14" fontId="4" fillId="0" borderId="32" xfId="81" applyNumberFormat="1" applyFont="1" applyBorder="1" applyAlignment="1">
      <alignment horizontal="center" vertical="center"/>
      <protection/>
    </xf>
    <xf numFmtId="0" fontId="4" fillId="0" borderId="0" xfId="81" applyBorder="1" applyAlignment="1" quotePrefix="1">
      <alignment horizontal="center" vertical="center"/>
      <protection/>
    </xf>
    <xf numFmtId="3" fontId="4" fillId="0" borderId="0" xfId="81" applyNumberFormat="1" applyBorder="1">
      <alignment/>
      <protection/>
    </xf>
    <xf numFmtId="6" fontId="4" fillId="0" borderId="0" xfId="81" applyNumberFormat="1" applyBorder="1">
      <alignment/>
      <protection/>
    </xf>
    <xf numFmtId="14" fontId="4" fillId="0" borderId="0" xfId="81" applyNumberFormat="1" applyFont="1" applyBorder="1" applyAlignment="1">
      <alignment horizontal="center" vertical="center"/>
      <protection/>
    </xf>
    <xf numFmtId="0" fontId="4" fillId="0" borderId="22" xfId="81" applyBorder="1" applyAlignment="1">
      <alignment horizontal="center" vertical="center" wrapText="1"/>
      <protection/>
    </xf>
    <xf numFmtId="0" fontId="4" fillId="0" borderId="50" xfId="81" applyBorder="1" applyAlignment="1" quotePrefix="1">
      <alignment horizontal="center" vertical="center" wrapText="1"/>
      <protection/>
    </xf>
    <xf numFmtId="0" fontId="4" fillId="0" borderId="50" xfId="81" applyFont="1" applyBorder="1" applyAlignment="1">
      <alignment horizontal="center" wrapText="1"/>
      <protection/>
    </xf>
    <xf numFmtId="0" fontId="4" fillId="0" borderId="24" xfId="81" applyFont="1" applyBorder="1" applyAlignment="1">
      <alignment horizontal="center" wrapText="1"/>
      <protection/>
    </xf>
    <xf numFmtId="0" fontId="4" fillId="0" borderId="30" xfId="81" applyFont="1" applyBorder="1" applyAlignment="1">
      <alignment horizontal="center" wrapText="1"/>
      <protection/>
    </xf>
    <xf numFmtId="0" fontId="4" fillId="0" borderId="32" xfId="81" applyFont="1" applyBorder="1" applyAlignment="1">
      <alignment horizontal="center" wrapText="1"/>
      <protection/>
    </xf>
    <xf numFmtId="0" fontId="0" fillId="0" borderId="0" xfId="0" applyFont="1" applyAlignment="1">
      <alignment wrapText="1"/>
    </xf>
    <xf numFmtId="49" fontId="43" fillId="0" borderId="77" xfId="58" applyNumberFormat="1" applyFont="1" applyBorder="1" applyAlignment="1" applyProtection="1">
      <alignment wrapText="1"/>
      <protection/>
    </xf>
    <xf numFmtId="0" fontId="4" fillId="0" borderId="77" xfId="70" applyBorder="1" applyProtection="1">
      <alignment/>
      <protection/>
    </xf>
    <xf numFmtId="0" fontId="4" fillId="0" borderId="80" xfId="70" applyBorder="1" applyProtection="1">
      <alignment/>
      <protection/>
    </xf>
    <xf numFmtId="0" fontId="4" fillId="0" borderId="78" xfId="70" applyBorder="1" applyProtection="1">
      <alignment/>
      <protection/>
    </xf>
    <xf numFmtId="0" fontId="0" fillId="0" borderId="76" xfId="0" applyFont="1" applyBorder="1" applyAlignment="1" applyProtection="1">
      <alignment/>
      <protection locked="0"/>
    </xf>
    <xf numFmtId="0" fontId="4" fillId="0" borderId="10" xfId="70" applyBorder="1" applyProtection="1">
      <alignment/>
      <protection/>
    </xf>
    <xf numFmtId="0" fontId="4" fillId="0" borderId="22" xfId="70" applyBorder="1" applyProtection="1">
      <alignment/>
      <protection/>
    </xf>
    <xf numFmtId="49" fontId="43" fillId="0" borderId="76" xfId="58" applyNumberFormat="1" applyFont="1" applyBorder="1" applyAlignment="1" applyProtection="1">
      <alignment horizontal="center" vertical="center" wrapText="1"/>
      <protection locked="0"/>
    </xf>
    <xf numFmtId="49" fontId="0" fillId="0" borderId="0" xfId="0" applyNumberFormat="1" applyAlignment="1" quotePrefix="1">
      <alignment wrapText="1"/>
    </xf>
    <xf numFmtId="0" fontId="0" fillId="47" borderId="0" xfId="0" applyFill="1" applyAlignment="1">
      <alignment/>
    </xf>
    <xf numFmtId="47" fontId="0" fillId="0" borderId="0" xfId="0" applyNumberFormat="1" applyAlignment="1">
      <alignment/>
    </xf>
    <xf numFmtId="1" fontId="4" fillId="0" borderId="16" xfId="64" applyNumberFormat="1" applyBorder="1" applyAlignment="1" applyProtection="1">
      <alignment horizontal="left"/>
      <protection locked="0"/>
    </xf>
    <xf numFmtId="1" fontId="0" fillId="0" borderId="38" xfId="0" applyNumberFormat="1" applyBorder="1" applyAlignment="1">
      <alignment horizontal="left"/>
    </xf>
    <xf numFmtId="0" fontId="17" fillId="0" borderId="83" xfId="64" applyFont="1" applyBorder="1" applyAlignment="1">
      <alignment horizontal="right" wrapText="1"/>
      <protection/>
    </xf>
    <xf numFmtId="0" fontId="17" fillId="0" borderId="45" xfId="64" applyFont="1" applyBorder="1" applyAlignment="1">
      <alignment horizontal="right" wrapText="1"/>
      <protection/>
    </xf>
    <xf numFmtId="0" fontId="17" fillId="0" borderId="71" xfId="64" applyFont="1" applyBorder="1" applyAlignment="1">
      <alignment horizontal="right" wrapText="1"/>
      <protection/>
    </xf>
    <xf numFmtId="0" fontId="6" fillId="0" borderId="83" xfId="79" applyFont="1" applyBorder="1" applyAlignment="1">
      <alignment horizontal="center"/>
      <protection/>
    </xf>
    <xf numFmtId="0" fontId="6" fillId="0" borderId="45" xfId="79" applyFont="1" applyBorder="1" applyAlignment="1">
      <alignment horizontal="center"/>
      <protection/>
    </xf>
    <xf numFmtId="0" fontId="6" fillId="0" borderId="71" xfId="79" applyFont="1" applyBorder="1" applyAlignment="1">
      <alignment horizontal="center"/>
      <protection/>
    </xf>
    <xf numFmtId="0" fontId="17" fillId="0" borderId="83" xfId="64" applyFont="1" applyBorder="1" applyAlignment="1">
      <alignment horizontal="center"/>
      <protection/>
    </xf>
    <xf numFmtId="0" fontId="17" fillId="0" borderId="45" xfId="64" applyFont="1" applyBorder="1" applyAlignment="1">
      <alignment horizontal="center"/>
      <protection/>
    </xf>
    <xf numFmtId="0" fontId="17" fillId="0" borderId="71" xfId="64" applyFont="1" applyBorder="1" applyAlignment="1">
      <alignment horizontal="center"/>
      <protection/>
    </xf>
    <xf numFmtId="0" fontId="14" fillId="0" borderId="83" xfId="71" applyFont="1" applyBorder="1" applyAlignment="1" quotePrefix="1">
      <alignment horizontal="right" wrapText="1"/>
      <protection/>
    </xf>
    <xf numFmtId="0" fontId="0" fillId="0" borderId="45" xfId="0" applyBorder="1" applyAlignment="1">
      <alignment horizontal="right" wrapText="1"/>
    </xf>
    <xf numFmtId="0" fontId="0" fillId="0" borderId="71" xfId="0" applyBorder="1" applyAlignment="1">
      <alignment horizontal="right" wrapText="1"/>
    </xf>
    <xf numFmtId="0" fontId="20" fillId="0" borderId="30" xfId="68" applyFont="1" applyBorder="1" applyAlignment="1">
      <alignment horizontal="center" vertical="top" wrapText="1"/>
      <protection/>
    </xf>
    <xf numFmtId="0" fontId="34" fillId="0" borderId="23" xfId="68" applyFont="1" applyBorder="1" applyAlignment="1">
      <alignment horizontal="center" vertical="top" wrapText="1"/>
      <protection/>
    </xf>
    <xf numFmtId="0" fontId="34" fillId="0" borderId="25" xfId="68" applyFont="1" applyBorder="1" applyAlignment="1">
      <alignment horizontal="center" vertical="top" wrapText="1"/>
      <protection/>
    </xf>
    <xf numFmtId="0" fontId="38" fillId="0" borderId="42" xfId="68" applyFont="1" applyBorder="1" applyAlignment="1" applyProtection="1">
      <alignment horizontal="left" wrapText="1"/>
      <protection/>
    </xf>
    <xf numFmtId="0" fontId="38" fillId="0" borderId="27" xfId="68" applyFont="1" applyBorder="1" applyAlignment="1" applyProtection="1">
      <alignment horizontal="left" wrapText="1"/>
      <protection/>
    </xf>
    <xf numFmtId="0" fontId="4" fillId="0" borderId="34" xfId="68" applyBorder="1" applyAlignment="1" quotePrefix="1">
      <alignment horizontal="left" wrapText="1"/>
      <protection/>
    </xf>
    <xf numFmtId="0" fontId="4" fillId="0" borderId="53" xfId="68" applyBorder="1" applyAlignment="1" quotePrefix="1">
      <alignment horizontal="left" wrapText="1"/>
      <protection/>
    </xf>
    <xf numFmtId="0" fontId="23" fillId="0" borderId="0" xfId="70" applyFont="1" applyAlignment="1" applyProtection="1">
      <alignment horizontal="center" vertical="center" wrapText="1"/>
      <protection/>
    </xf>
    <xf numFmtId="0" fontId="32" fillId="0" borderId="0" xfId="75" applyFont="1" applyBorder="1" applyAlignment="1" applyProtection="1">
      <alignment horizontal="center" vertical="center" wrapText="1"/>
      <protection/>
    </xf>
    <xf numFmtId="0" fontId="0" fillId="0" borderId="0" xfId="0" applyAlignment="1">
      <alignment horizontal="center" vertical="center" wrapText="1"/>
    </xf>
    <xf numFmtId="0" fontId="14" fillId="0" borderId="0" xfId="77" applyFont="1" applyAlignment="1">
      <alignment horizontal="center"/>
      <protection/>
    </xf>
    <xf numFmtId="0" fontId="89" fillId="0" borderId="0" xfId="0" applyFont="1" applyAlignment="1">
      <alignment horizontal="center" textRotation="90" readingOrder="1"/>
    </xf>
    <xf numFmtId="0" fontId="24" fillId="0" borderId="0" xfId="77" applyFont="1" applyAlignment="1">
      <alignment horizontal="center"/>
      <protection/>
    </xf>
    <xf numFmtId="0" fontId="4" fillId="0" borderId="26" xfId="78" applyFont="1" applyBorder="1" applyAlignment="1">
      <alignment horizontal="center" wrapText="1"/>
      <protection/>
    </xf>
    <xf numFmtId="0" fontId="4" fillId="0" borderId="27" xfId="78" applyFont="1" applyBorder="1" applyAlignment="1">
      <alignment horizontal="center" wrapText="1"/>
      <protection/>
    </xf>
    <xf numFmtId="0" fontId="24" fillId="0" borderId="0" xfId="78" applyFont="1" applyAlignment="1">
      <alignment horizontal="center"/>
      <protection/>
    </xf>
    <xf numFmtId="0" fontId="4" fillId="0" borderId="77" xfId="78" applyFont="1" applyBorder="1" applyAlignment="1">
      <alignment horizontal="center" vertical="center" wrapText="1"/>
      <protection/>
    </xf>
    <xf numFmtId="0" fontId="4" fillId="0" borderId="79" xfId="78" applyFont="1" applyBorder="1" applyAlignment="1">
      <alignment horizontal="center" vertical="center" wrapText="1"/>
      <protection/>
    </xf>
    <xf numFmtId="0" fontId="4" fillId="0" borderId="26" xfId="78" applyFont="1" applyBorder="1" applyAlignment="1">
      <alignment horizontal="left" wrapText="1"/>
      <protection/>
    </xf>
    <xf numFmtId="0" fontId="0" fillId="0" borderId="27" xfId="0" applyBorder="1" applyAlignment="1">
      <alignment wrapText="1"/>
    </xf>
    <xf numFmtId="0" fontId="0" fillId="0" borderId="28" xfId="0" applyBorder="1" applyAlignment="1">
      <alignment wrapText="1"/>
    </xf>
    <xf numFmtId="0" fontId="6" fillId="0" borderId="0" xfId="66" applyFont="1" applyAlignment="1">
      <alignment horizontal="center" wrapText="1"/>
      <protection/>
    </xf>
    <xf numFmtId="0" fontId="6" fillId="0" borderId="0" xfId="70" applyFont="1" applyAlignment="1" applyProtection="1">
      <alignment horizontal="left" vertical="center" wrapText="1"/>
      <protection/>
    </xf>
    <xf numFmtId="0" fontId="4" fillId="0" borderId="0" xfId="81" applyAlignment="1">
      <alignment horizontal="left" wrapText="1"/>
      <protection/>
    </xf>
    <xf numFmtId="0" fontId="22" fillId="0" borderId="0" xfId="81" applyFont="1" applyAlignment="1">
      <alignment horizontal="center" wrapText="1"/>
      <protection/>
    </xf>
    <xf numFmtId="0" fontId="22" fillId="0" borderId="83" xfId="81" applyFont="1" applyBorder="1" applyAlignment="1">
      <alignment horizontal="center" wrapText="1"/>
      <protection/>
    </xf>
    <xf numFmtId="0" fontId="22" fillId="0" borderId="45" xfId="81" applyFont="1" applyBorder="1" applyAlignment="1">
      <alignment horizontal="center" wrapText="1"/>
      <protection/>
    </xf>
    <xf numFmtId="0" fontId="22" fillId="0" borderId="71" xfId="81" applyFont="1" applyBorder="1" applyAlignment="1">
      <alignment horizontal="center"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1" xfId="58"/>
    <cellStyle name="Normal_dec97nf" xfId="59"/>
    <cellStyle name="Normal_RC(14)" xfId="60"/>
    <cellStyle name="Normal_Revised Math Edits" xfId="61"/>
    <cellStyle name="Normal_Revised Math Edits_1" xfId="62"/>
    <cellStyle name="Normal_Schedule P" xfId="63"/>
    <cellStyle name="Normal_Schedule_A" xfId="64"/>
    <cellStyle name="Normal_Schedule_B" xfId="65"/>
    <cellStyle name="Normal_Schedule_C" xfId="66"/>
    <cellStyle name="Normal_Schedule_F" xfId="67"/>
    <cellStyle name="Normal_Schedule_G" xfId="68"/>
    <cellStyle name="Normal_Schedule_G-1" xfId="69"/>
    <cellStyle name="Normal_Schedule_G-2, P-1" xfId="70"/>
    <cellStyle name="Normal_Schedule_G-4" xfId="71"/>
    <cellStyle name="Normal_Schedule_G-5" xfId="72"/>
    <cellStyle name="Normal_Schedule_G-7" xfId="73"/>
    <cellStyle name="Normal_Schedule_G-8" xfId="74"/>
    <cellStyle name="Normal_Schedule_L" xfId="75"/>
    <cellStyle name="Normal_Schedule_M" xfId="76"/>
    <cellStyle name="Normal_Schedule_N" xfId="77"/>
    <cellStyle name="Normal_Schedule_O " xfId="78"/>
    <cellStyle name="Normal_Supp Schedule_A" xfId="79"/>
    <cellStyle name="Normal_Supp Schedule_I-3" xfId="80"/>
    <cellStyle name="Normal_Supp Schedule_O-1" xfId="81"/>
    <cellStyle name="Normal_Supp Schedule_O-2" xfId="82"/>
    <cellStyle name="Note" xfId="83"/>
    <cellStyle name="Output" xfId="84"/>
    <cellStyle name="Percent" xfId="85"/>
    <cellStyle name="Percent 2"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43</xdr:row>
      <xdr:rowOff>0</xdr:rowOff>
    </xdr:from>
    <xdr:to>
      <xdr:col>5</xdr:col>
      <xdr:colOff>419100</xdr:colOff>
      <xdr:row>51</xdr:row>
      <xdr:rowOff>190500</xdr:rowOff>
    </xdr:to>
    <xdr:sp>
      <xdr:nvSpPr>
        <xdr:cNvPr id="1" name="Text 26"/>
        <xdr:cNvSpPr txBox="1">
          <a:spLocks noChangeArrowheads="1"/>
        </xdr:cNvSpPr>
      </xdr:nvSpPr>
      <xdr:spPr>
        <a:xfrm>
          <a:off x="295275" y="7324725"/>
          <a:ext cx="4229100" cy="1943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Subscribed and sworn before me on this _________________________ day of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_________________________________, 20___________________________.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Notary: ________________________________________________________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Residing in: _____________________________________________________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My appointment expires:___________________________________________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76200</xdr:rowOff>
    </xdr:from>
    <xdr:to>
      <xdr:col>9</xdr:col>
      <xdr:colOff>561975</xdr:colOff>
      <xdr:row>8</xdr:row>
      <xdr:rowOff>0</xdr:rowOff>
    </xdr:to>
    <xdr:sp>
      <xdr:nvSpPr>
        <xdr:cNvPr id="1" name="Text 2"/>
        <xdr:cNvSpPr txBox="1">
          <a:spLocks noChangeArrowheads="1"/>
        </xdr:cNvSpPr>
      </xdr:nvSpPr>
      <xdr:spPr>
        <a:xfrm>
          <a:off x="26784300" y="76200"/>
          <a:ext cx="495300" cy="2552700"/>
        </a:xfrm>
        <a:prstGeom prst="rect">
          <a:avLst/>
        </a:prstGeom>
        <a:solidFill>
          <a:srgbClr val="FFFFFF"/>
        </a:solidFill>
        <a:ln w="1" cmpd="sng">
          <a:solidFill>
            <a:srgbClr val="FFFFFF"/>
          </a:solidFill>
          <a:headEnd type="none"/>
          <a:tailEnd type="none"/>
        </a:ln>
      </xdr:spPr>
      <xdr:txBody>
        <a:bodyPr vertOverflow="clip" wrap="square" lIns="27432" tIns="27432" rIns="27432" bIns="27432" anchor="ctr" vert="vert270"/>
        <a:p>
          <a:pPr algn="ctr">
            <a:defRPr/>
          </a:pPr>
          <a:r>
            <a:rPr lang="en-US" cap="none" sz="1200" b="0" i="0" u="none" baseline="0">
              <a:solidFill>
                <a:srgbClr val="000000"/>
              </a:solidFill>
            </a:rPr>
            <a:t>Schedule G-2_HO (Page 1 of 1)</a:t>
          </a:r>
        </a:p>
      </xdr:txBody>
    </xdr:sp>
    <xdr:clientData/>
  </xdr:twoCellAnchor>
  <xdr:oneCellAnchor>
    <xdr:from>
      <xdr:col>9</xdr:col>
      <xdr:colOff>104775</xdr:colOff>
      <xdr:row>26</xdr:row>
      <xdr:rowOff>0</xdr:rowOff>
    </xdr:from>
    <xdr:ext cx="495300" cy="1905000"/>
    <xdr:sp>
      <xdr:nvSpPr>
        <xdr:cNvPr id="2" name="Text 30"/>
        <xdr:cNvSpPr txBox="1">
          <a:spLocks noChangeArrowheads="1"/>
        </xdr:cNvSpPr>
      </xdr:nvSpPr>
      <xdr:spPr>
        <a:xfrm>
          <a:off x="26822400" y="10620375"/>
          <a:ext cx="495300" cy="1905000"/>
        </a:xfrm>
        <a:prstGeom prst="rect">
          <a:avLst/>
        </a:prstGeom>
        <a:solidFill>
          <a:srgbClr val="FFFFFF"/>
        </a:solidFill>
        <a:ln w="1" cmpd="sng">
          <a:noFill/>
        </a:ln>
      </xdr:spPr>
      <xdr:txBody>
        <a:bodyPr vertOverflow="clip" wrap="square" lIns="27432" tIns="22860" rIns="27432" bIns="0" vert="vert270"/>
        <a:p>
          <a:pPr algn="ctr">
            <a:defRPr/>
          </a:pPr>
          <a:r>
            <a:rPr lang="en-US" cap="none" sz="800" b="0" i="0" u="none" baseline="0">
              <a:solidFill>
                <a:srgbClr val="000000"/>
              </a:solidFill>
            </a:rPr>
            <a:t>DSHS 23-003         </a:t>
          </a:r>
        </a:p>
      </xdr:txBody>
    </xdr:sp>
    <xdr:clientData/>
  </xdr:oneCellAnchor>
  <xdr:twoCellAnchor>
    <xdr:from>
      <xdr:col>9</xdr:col>
      <xdr:colOff>142875</xdr:colOff>
      <xdr:row>13</xdr:row>
      <xdr:rowOff>0</xdr:rowOff>
    </xdr:from>
    <xdr:to>
      <xdr:col>9</xdr:col>
      <xdr:colOff>581025</xdr:colOff>
      <xdr:row>17</xdr:row>
      <xdr:rowOff>0</xdr:rowOff>
    </xdr:to>
    <xdr:sp>
      <xdr:nvSpPr>
        <xdr:cNvPr id="3" name="Text 38"/>
        <xdr:cNvSpPr txBox="1">
          <a:spLocks noChangeArrowheads="1"/>
        </xdr:cNvSpPr>
      </xdr:nvSpPr>
      <xdr:spPr>
        <a:xfrm>
          <a:off x="26860500" y="4924425"/>
          <a:ext cx="438150" cy="1752600"/>
        </a:xfrm>
        <a:prstGeom prst="rect">
          <a:avLst/>
        </a:prstGeom>
        <a:solidFill>
          <a:srgbClr val="FFFFFF"/>
        </a:solidFill>
        <a:ln w="1" cmpd="sng">
          <a:solidFill>
            <a:srgbClr val="FFFFFF"/>
          </a:solidFill>
          <a:headEnd type="none"/>
          <a:tailEnd type="none"/>
        </a:ln>
      </xdr:spPr>
      <xdr:txBody>
        <a:bodyPr vertOverflow="clip" wrap="square" lIns="36576" tIns="32004" rIns="36576" bIns="32004" anchor="ctr" vert="vert270"/>
        <a:p>
          <a:pPr algn="ctr">
            <a:defRPr/>
          </a:pPr>
          <a:r>
            <a:rPr lang="en-US" cap="none" sz="1400" b="0" i="0" u="none" baseline="0">
              <a:solidFill>
                <a:srgbClr val="000000"/>
              </a:solidFill>
            </a:rPr>
            <a:t>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38100</xdr:rowOff>
    </xdr:from>
    <xdr:to>
      <xdr:col>8</xdr:col>
      <xdr:colOff>552450</xdr:colOff>
      <xdr:row>6</xdr:row>
      <xdr:rowOff>152400</xdr:rowOff>
    </xdr:to>
    <xdr:sp>
      <xdr:nvSpPr>
        <xdr:cNvPr id="1" name="Text 2"/>
        <xdr:cNvSpPr txBox="1">
          <a:spLocks noChangeArrowheads="1"/>
        </xdr:cNvSpPr>
      </xdr:nvSpPr>
      <xdr:spPr>
        <a:xfrm>
          <a:off x="23317200" y="38100"/>
          <a:ext cx="495300" cy="2286000"/>
        </a:xfrm>
        <a:prstGeom prst="rect">
          <a:avLst/>
        </a:prstGeom>
        <a:solidFill>
          <a:srgbClr val="FFFFFF"/>
        </a:solidFill>
        <a:ln w="1" cmpd="sng">
          <a:solidFill>
            <a:srgbClr val="FFFFFF"/>
          </a:solidFill>
          <a:headEnd type="none"/>
          <a:tailEnd type="none"/>
        </a:ln>
      </xdr:spPr>
      <xdr:txBody>
        <a:bodyPr vertOverflow="clip" wrap="square" lIns="27432" tIns="27432" rIns="27432" bIns="27432" anchor="ctr" vert="vert270"/>
        <a:p>
          <a:pPr algn="ctr">
            <a:defRPr/>
          </a:pPr>
          <a:r>
            <a:rPr lang="en-US" cap="none" sz="1200" b="0" i="0" u="none" baseline="0">
              <a:solidFill>
                <a:srgbClr val="000000"/>
              </a:solidFill>
            </a:rPr>
            <a:t>Schedule G-2 (Page 1 of 1)</a:t>
          </a:r>
        </a:p>
      </xdr:txBody>
    </xdr:sp>
    <xdr:clientData/>
  </xdr:twoCellAnchor>
  <xdr:oneCellAnchor>
    <xdr:from>
      <xdr:col>8</xdr:col>
      <xdr:colOff>95250</xdr:colOff>
      <xdr:row>26</xdr:row>
      <xdr:rowOff>0</xdr:rowOff>
    </xdr:from>
    <xdr:ext cx="504825" cy="914400"/>
    <xdr:sp>
      <xdr:nvSpPr>
        <xdr:cNvPr id="2" name="Text 30"/>
        <xdr:cNvSpPr txBox="1">
          <a:spLocks noChangeArrowheads="1"/>
        </xdr:cNvSpPr>
      </xdr:nvSpPr>
      <xdr:spPr>
        <a:xfrm>
          <a:off x="23355300" y="10934700"/>
          <a:ext cx="504825" cy="914400"/>
        </a:xfrm>
        <a:prstGeom prst="rect">
          <a:avLst/>
        </a:prstGeom>
        <a:solidFill>
          <a:srgbClr val="FFFFFF"/>
        </a:solidFill>
        <a:ln w="1" cmpd="sng">
          <a:noFill/>
        </a:ln>
      </xdr:spPr>
      <xdr:txBody>
        <a:bodyPr vertOverflow="clip" wrap="square" lIns="27432" tIns="22860" rIns="27432" bIns="0" vert="vert270"/>
        <a:p>
          <a:pPr algn="ctr">
            <a:defRPr/>
          </a:pPr>
          <a:r>
            <a:rPr lang="en-US" cap="none" sz="800" b="0" i="0" u="none" baseline="0">
              <a:solidFill>
                <a:srgbClr val="000000"/>
              </a:solidFill>
            </a:rPr>
            <a:t>DSHS 23-003           </a:t>
          </a:r>
        </a:p>
      </xdr:txBody>
    </xdr:sp>
    <xdr:clientData/>
  </xdr:oneCellAnchor>
  <xdr:twoCellAnchor>
    <xdr:from>
      <xdr:col>8</xdr:col>
      <xdr:colOff>142875</xdr:colOff>
      <xdr:row>13</xdr:row>
      <xdr:rowOff>0</xdr:rowOff>
    </xdr:from>
    <xdr:to>
      <xdr:col>8</xdr:col>
      <xdr:colOff>571500</xdr:colOff>
      <xdr:row>17</xdr:row>
      <xdr:rowOff>0</xdr:rowOff>
    </xdr:to>
    <xdr:sp>
      <xdr:nvSpPr>
        <xdr:cNvPr id="3" name="Text 38"/>
        <xdr:cNvSpPr txBox="1">
          <a:spLocks noChangeArrowheads="1"/>
        </xdr:cNvSpPr>
      </xdr:nvSpPr>
      <xdr:spPr>
        <a:xfrm>
          <a:off x="23402925" y="5238750"/>
          <a:ext cx="428625" cy="1752600"/>
        </a:xfrm>
        <a:prstGeom prst="rect">
          <a:avLst/>
        </a:prstGeom>
        <a:solidFill>
          <a:srgbClr val="FFFFFF"/>
        </a:solidFill>
        <a:ln w="1" cmpd="sng">
          <a:solidFill>
            <a:srgbClr val="FFFFFF"/>
          </a:solidFill>
          <a:headEnd type="none"/>
          <a:tailEnd type="none"/>
        </a:ln>
      </xdr:spPr>
      <xdr:txBody>
        <a:bodyPr vertOverflow="clip" wrap="square" lIns="36576" tIns="32004" rIns="36576" bIns="32004" anchor="ctr" vert="vert270"/>
        <a:p>
          <a:pPr algn="ctr">
            <a:defRPr/>
          </a:pPr>
          <a:r>
            <a:rPr lang="en-US" cap="none" sz="1400" b="0" i="0" u="none" baseline="0">
              <a:solidFill>
                <a:srgbClr val="000000"/>
              </a:solidFill>
            </a:rPr>
            <a:t>24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9525</xdr:rowOff>
    </xdr:from>
    <xdr:to>
      <xdr:col>6</xdr:col>
      <xdr:colOff>0</xdr:colOff>
      <xdr:row>8</xdr:row>
      <xdr:rowOff>0</xdr:rowOff>
    </xdr:to>
    <xdr:sp>
      <xdr:nvSpPr>
        <xdr:cNvPr id="1" name="Text 2"/>
        <xdr:cNvSpPr txBox="1">
          <a:spLocks noChangeArrowheads="1"/>
        </xdr:cNvSpPr>
      </xdr:nvSpPr>
      <xdr:spPr>
        <a:xfrm>
          <a:off x="17868900" y="1419225"/>
          <a:ext cx="0" cy="238125"/>
        </a:xfrm>
        <a:prstGeom prst="rect">
          <a:avLst/>
        </a:prstGeom>
        <a:solidFill>
          <a:srgbClr val="FFFFFF"/>
        </a:solidFill>
        <a:ln w="17145" cmpd="sng">
          <a:solidFill>
            <a:srgbClr val="000000"/>
          </a:solidFill>
          <a:headEnd type="none"/>
          <a:tailEnd type="none"/>
        </a:ln>
      </xdr:spPr>
      <xdr:txBody>
        <a:bodyPr vertOverflow="clip" wrap="square" lIns="27432" tIns="27432" rIns="27432" bIns="27432" anchor="ctr"/>
        <a:p>
          <a:pPr algn="ctr">
            <a:defRPr/>
          </a:pPr>
          <a:r>
            <a:rPr lang="en-US" cap="none" sz="1200" b="0" i="0" u="none" baseline="0">
              <a:solidFill>
                <a:srgbClr val="000000"/>
              </a:solidFill>
              <a:latin typeface="Times New Roman"/>
              <a:ea typeface="Times New Roman"/>
              <a:cs typeface="Times New Roman"/>
            </a:rPr>
            <a:t>ALLOCATED TO OTHER ENTITIES
</a:t>
          </a:r>
          <a:r>
            <a:rPr lang="en-US" cap="none" sz="1200" b="0" i="0" u="none" baseline="0">
              <a:solidFill>
                <a:srgbClr val="000000"/>
              </a:solidFill>
              <a:latin typeface="Times New Roman"/>
              <a:ea typeface="Times New Roman"/>
              <a:cs typeface="Times New Roman"/>
            </a:rPr>
            <a:t>(Specify Entity)
</a:t>
          </a:r>
        </a:p>
      </xdr:txBody>
    </xdr:sp>
    <xdr:clientData/>
  </xdr:twoCellAnchor>
  <xdr:twoCellAnchor>
    <xdr:from>
      <xdr:col>4</xdr:col>
      <xdr:colOff>323850</xdr:colOff>
      <xdr:row>40</xdr:row>
      <xdr:rowOff>0</xdr:rowOff>
    </xdr:from>
    <xdr:to>
      <xdr:col>4</xdr:col>
      <xdr:colOff>438150</xdr:colOff>
      <xdr:row>40</xdr:row>
      <xdr:rowOff>0</xdr:rowOff>
    </xdr:to>
    <xdr:sp>
      <xdr:nvSpPr>
        <xdr:cNvPr id="2" name="Rectangle 4"/>
        <xdr:cNvSpPr>
          <a:spLocks/>
        </xdr:cNvSpPr>
      </xdr:nvSpPr>
      <xdr:spPr>
        <a:xfrm>
          <a:off x="8496300" y="94964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40</xdr:row>
      <xdr:rowOff>0</xdr:rowOff>
    </xdr:from>
    <xdr:to>
      <xdr:col>3</xdr:col>
      <xdr:colOff>495300</xdr:colOff>
      <xdr:row>40</xdr:row>
      <xdr:rowOff>0</xdr:rowOff>
    </xdr:to>
    <xdr:sp>
      <xdr:nvSpPr>
        <xdr:cNvPr id="3" name="Rectangle 5"/>
        <xdr:cNvSpPr>
          <a:spLocks/>
        </xdr:cNvSpPr>
      </xdr:nvSpPr>
      <xdr:spPr>
        <a:xfrm>
          <a:off x="7277100" y="94964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40</xdr:row>
      <xdr:rowOff>0</xdr:rowOff>
    </xdr:from>
    <xdr:to>
      <xdr:col>4</xdr:col>
      <xdr:colOff>504825</xdr:colOff>
      <xdr:row>40</xdr:row>
      <xdr:rowOff>0</xdr:rowOff>
    </xdr:to>
    <xdr:sp>
      <xdr:nvSpPr>
        <xdr:cNvPr id="4" name="Rectangle 6"/>
        <xdr:cNvSpPr>
          <a:spLocks/>
        </xdr:cNvSpPr>
      </xdr:nvSpPr>
      <xdr:spPr>
        <a:xfrm>
          <a:off x="8496300" y="94964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D100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39.7109375" style="0" bestFit="1" customWidth="1"/>
    <col min="2" max="2" width="76.8515625" style="0" bestFit="1" customWidth="1"/>
    <col min="3" max="3" width="14.28125" style="0" customWidth="1"/>
    <col min="4" max="4" width="36.28125" style="1501" customWidth="1"/>
    <col min="5" max="5" width="75.00390625" style="0" customWidth="1"/>
    <col min="6" max="6" width="69.421875" style="0" bestFit="1" customWidth="1"/>
    <col min="7" max="7" width="15.00390625" style="0" bestFit="1" customWidth="1"/>
    <col min="8" max="23" width="15.00390625" style="0" customWidth="1"/>
    <col min="24" max="24" width="10.140625" style="0" bestFit="1" customWidth="1"/>
    <col min="25" max="26" width="13.28125" style="0" bestFit="1" customWidth="1"/>
    <col min="33" max="33" width="10.28125" style="1240" customWidth="1"/>
    <col min="34" max="34" width="9.140625" style="1240" customWidth="1"/>
    <col min="37" max="37" width="59.8515625" style="0" bestFit="1" customWidth="1"/>
    <col min="38" max="38" width="14.421875" style="1859" customWidth="1"/>
    <col min="39" max="39" width="11.8515625" style="1859" customWidth="1"/>
    <col min="40" max="40" width="18.28125" style="0" bestFit="1" customWidth="1"/>
    <col min="41" max="41" width="17.28125" style="0" bestFit="1" customWidth="1"/>
    <col min="42" max="42" width="18.421875" style="0" customWidth="1"/>
    <col min="48" max="48" width="16.8515625" style="0" customWidth="1"/>
    <col min="49" max="49" width="22.57421875" style="0" customWidth="1"/>
  </cols>
  <sheetData>
    <row r="1" spans="1:28" ht="12.75">
      <c r="A1" s="1510" t="s">
        <v>692</v>
      </c>
      <c r="B1" s="1510" t="s">
        <v>996</v>
      </c>
      <c r="C1" t="s">
        <v>683</v>
      </c>
      <c r="D1" s="1501" t="s">
        <v>682</v>
      </c>
      <c r="E1" s="1510" t="s">
        <v>694</v>
      </c>
      <c r="F1" s="1510" t="s">
        <v>693</v>
      </c>
      <c r="G1" s="1510" t="s">
        <v>695</v>
      </c>
      <c r="H1" s="1510"/>
      <c r="I1" s="1510"/>
      <c r="J1" s="1510"/>
      <c r="K1" s="1510"/>
      <c r="L1" s="1510"/>
      <c r="M1" s="1510"/>
      <c r="N1" s="1510"/>
      <c r="O1" s="1510"/>
      <c r="P1" s="1510"/>
      <c r="Q1" s="1510"/>
      <c r="R1" s="1510"/>
      <c r="S1" s="1510"/>
      <c r="T1" s="1510"/>
      <c r="U1" s="1510"/>
      <c r="V1" s="1510" t="s">
        <v>1122</v>
      </c>
      <c r="W1" s="1510"/>
      <c r="X1" s="1750"/>
      <c r="Y1" s="1751" t="s">
        <v>991</v>
      </c>
      <c r="Z1" s="1751" t="s">
        <v>992</v>
      </c>
      <c r="AB1" t="s">
        <v>773</v>
      </c>
    </row>
    <row r="2" spans="1:41" ht="12.75">
      <c r="A2" s="1510" t="str">
        <f>IF(ISNA(VLOOKUP(_M000002,'Revised Math Edits'!$AC$2:$AC$315,1,FALSE)),"Error","Correct")</f>
        <v>Error</v>
      </c>
      <c r="B2" s="1510" t="s">
        <v>994</v>
      </c>
      <c r="C2" t="s">
        <v>191</v>
      </c>
      <c r="D2" s="1501" t="str">
        <f>Schedule_A!I7</f>
        <v>3.  VENDOR NUMBER</v>
      </c>
      <c r="E2" s="1510"/>
      <c r="F2" s="1510"/>
      <c r="G2" s="1510"/>
      <c r="H2" s="1510"/>
      <c r="I2" s="1510"/>
      <c r="J2" s="1510"/>
      <c r="K2" s="1510"/>
      <c r="L2" s="1510"/>
      <c r="M2" s="1510"/>
      <c r="N2" s="1510"/>
      <c r="O2" s="1510"/>
      <c r="P2" s="1510"/>
      <c r="Q2" s="1510"/>
      <c r="R2" s="1510"/>
      <c r="S2" s="1510"/>
      <c r="T2" s="1510"/>
      <c r="U2" s="1510"/>
      <c r="V2" s="1510" t="s">
        <v>1101</v>
      </c>
      <c r="W2" s="1510" t="s">
        <v>1121</v>
      </c>
      <c r="X2" s="1750">
        <f>_M000002</f>
        <v>0</v>
      </c>
      <c r="Y2" s="1750"/>
      <c r="Z2" s="1750"/>
      <c r="AB2" t="s">
        <v>1049</v>
      </c>
      <c r="AC2" t="s">
        <v>1050</v>
      </c>
      <c r="AD2" t="s">
        <v>975</v>
      </c>
      <c r="AE2" t="s">
        <v>1062</v>
      </c>
      <c r="AF2" t="s">
        <v>1063</v>
      </c>
      <c r="AG2" s="1240" t="s">
        <v>1051</v>
      </c>
      <c r="AH2" s="1240" t="s">
        <v>1052</v>
      </c>
      <c r="AI2" t="s">
        <v>1064</v>
      </c>
      <c r="AJ2" t="s">
        <v>1065</v>
      </c>
      <c r="AK2" t="s">
        <v>1066</v>
      </c>
      <c r="AN2" s="1751" t="s">
        <v>989</v>
      </c>
      <c r="AO2" s="1751" t="s">
        <v>990</v>
      </c>
    </row>
    <row r="3" spans="1:56" ht="12" customHeight="1">
      <c r="A3" s="1510" t="str">
        <f>IF(ISNA(VLOOKUP(Y3,$AN$4:$AN$1007,1,FALSE)),"Error","Correct")</f>
        <v>Error</v>
      </c>
      <c r="B3" s="1510" t="s">
        <v>993</v>
      </c>
      <c r="C3" s="1510" t="s">
        <v>191</v>
      </c>
      <c r="D3" s="1501" t="str">
        <f>Schedule_A!G7</f>
        <v>2. NATIONAL PROVIDER NUMBER</v>
      </c>
      <c r="E3" s="1510"/>
      <c r="F3" s="1510"/>
      <c r="G3" s="1510"/>
      <c r="H3" s="1510"/>
      <c r="I3" s="1510"/>
      <c r="J3" s="1510"/>
      <c r="K3" s="1510"/>
      <c r="L3" s="1510"/>
      <c r="M3" s="1510"/>
      <c r="N3" s="1510"/>
      <c r="O3" s="1510"/>
      <c r="P3" s="1510"/>
      <c r="Q3" s="1510"/>
      <c r="R3" s="1510"/>
      <c r="S3" s="1510"/>
      <c r="T3" s="1510"/>
      <c r="U3" s="1510"/>
      <c r="V3" s="1510" t="s">
        <v>1102</v>
      </c>
      <c r="W3" s="1510" t="s">
        <v>1120</v>
      </c>
      <c r="X3" s="1750">
        <f>_M903297</f>
        <v>0</v>
      </c>
      <c r="Y3" s="1750" t="str">
        <f>X2&amp;X3</f>
        <v>00</v>
      </c>
      <c r="Z3" s="1750"/>
      <c r="AB3">
        <v>25000</v>
      </c>
      <c r="AC3">
        <v>4115701</v>
      </c>
      <c r="AD3" t="s">
        <v>774</v>
      </c>
      <c r="AE3">
        <v>4115701</v>
      </c>
      <c r="AF3">
        <v>1570</v>
      </c>
      <c r="AG3" s="1860">
        <v>43101</v>
      </c>
      <c r="AH3" s="1860">
        <v>43510</v>
      </c>
      <c r="AI3">
        <v>4115701</v>
      </c>
      <c r="AJ3">
        <v>19</v>
      </c>
      <c r="AK3" t="s">
        <v>960</v>
      </c>
      <c r="AP3" s="1757" t="s">
        <v>975</v>
      </c>
      <c r="AQ3" s="1757" t="s">
        <v>976</v>
      </c>
      <c r="AR3" s="1757" t="s">
        <v>985</v>
      </c>
      <c r="AS3" s="1757" t="s">
        <v>977</v>
      </c>
      <c r="AT3" s="1757" t="s">
        <v>1113</v>
      </c>
      <c r="AU3" s="1757" t="s">
        <v>978</v>
      </c>
      <c r="AV3" s="1757" t="s">
        <v>1114</v>
      </c>
      <c r="AW3" s="1757" t="s">
        <v>1115</v>
      </c>
      <c r="AX3" s="1757" t="s">
        <v>979</v>
      </c>
      <c r="AY3" s="1757" t="s">
        <v>980</v>
      </c>
      <c r="AZ3" s="1757" t="s">
        <v>984</v>
      </c>
      <c r="BA3" s="1757" t="s">
        <v>981</v>
      </c>
      <c r="BB3" s="1757" t="s">
        <v>986</v>
      </c>
      <c r="BC3" s="1757" t="s">
        <v>982</v>
      </c>
      <c r="BD3" s="1757" t="s">
        <v>983</v>
      </c>
    </row>
    <row r="4" spans="1:54" ht="12" customHeight="1">
      <c r="A4" s="1510" t="str">
        <f>IF(ISNA(VLOOKUP(Z4,$AO$4:$AO$1007,1,FALSE)),"Error","Correct")</f>
        <v>Error</v>
      </c>
      <c r="B4" s="1510" t="s">
        <v>995</v>
      </c>
      <c r="C4" s="1510" t="s">
        <v>191</v>
      </c>
      <c r="D4" s="1501" t="str">
        <f>Schedule_A!I9</f>
        <v>5. PROVIDERONE ID NUMBER</v>
      </c>
      <c r="E4" s="1510"/>
      <c r="F4" s="1510"/>
      <c r="G4" s="1510"/>
      <c r="H4" s="1510"/>
      <c r="I4" s="1510"/>
      <c r="J4" s="1510"/>
      <c r="K4" s="1510"/>
      <c r="L4" s="1510"/>
      <c r="M4" s="1510"/>
      <c r="N4" s="1510"/>
      <c r="O4" s="1510"/>
      <c r="P4" s="1510"/>
      <c r="Q4" s="1510"/>
      <c r="R4" s="1510"/>
      <c r="S4" s="1510"/>
      <c r="T4" s="1510"/>
      <c r="U4" s="1510"/>
      <c r="V4" s="1510" t="s">
        <v>1098</v>
      </c>
      <c r="W4" s="1510" t="s">
        <v>1119</v>
      </c>
      <c r="X4" s="1750">
        <f>_M903518</f>
        <v>0</v>
      </c>
      <c r="Y4" s="1750"/>
      <c r="Z4" s="1750" t="str">
        <f>X2&amp;X4</f>
        <v>00</v>
      </c>
      <c r="AB4">
        <v>40620</v>
      </c>
      <c r="AC4">
        <v>4112454</v>
      </c>
      <c r="AD4" t="s">
        <v>774</v>
      </c>
      <c r="AE4">
        <v>4112454</v>
      </c>
      <c r="AF4">
        <v>1245</v>
      </c>
      <c r="AG4" s="1860">
        <v>35947</v>
      </c>
      <c r="AH4" s="1860">
        <v>43538</v>
      </c>
      <c r="AI4">
        <v>4112454</v>
      </c>
      <c r="AJ4">
        <v>19</v>
      </c>
      <c r="AK4" t="s">
        <v>827</v>
      </c>
      <c r="AN4" t="str">
        <f>AQ4&amp;AU4</f>
        <v>40000061538159702</v>
      </c>
      <c r="AO4" t="str">
        <f>AQ4&amp;AW4</f>
        <v>4000006104461100</v>
      </c>
      <c r="AP4" s="1758" t="s">
        <v>1014</v>
      </c>
      <c r="AQ4" s="1759">
        <v>4000006</v>
      </c>
      <c r="AR4" s="1758"/>
      <c r="AS4" s="1758">
        <v>40330</v>
      </c>
      <c r="AT4" s="1759">
        <v>40330</v>
      </c>
      <c r="AU4" s="1758">
        <v>1538159702</v>
      </c>
      <c r="AV4" s="1758">
        <v>1538159702</v>
      </c>
      <c r="AW4" s="1758">
        <v>104461100</v>
      </c>
      <c r="AX4" s="1758"/>
      <c r="AY4" s="1758"/>
      <c r="AZ4" s="1758"/>
      <c r="BA4" s="1758"/>
      <c r="BB4" s="1758" t="s">
        <v>775</v>
      </c>
    </row>
    <row r="5" spans="1:56" ht="12" customHeight="1">
      <c r="A5" t="str">
        <f>IF(AND(_C000026&lt;&gt;"",_C000026&gt;=X5,_C000026&lt;=X6),"Correct","Error")</f>
        <v>Error</v>
      </c>
      <c r="B5" s="1510" t="s">
        <v>999</v>
      </c>
      <c r="C5" t="s">
        <v>191</v>
      </c>
      <c r="D5" s="1501" t="str">
        <f>Schedule_A!B39</f>
        <v>beginning </v>
      </c>
      <c r="E5" s="1510" t="s">
        <v>997</v>
      </c>
      <c r="W5" t="s">
        <v>1116</v>
      </c>
      <c r="X5" s="1752">
        <v>43466</v>
      </c>
      <c r="AB5">
        <v>40360</v>
      </c>
      <c r="AC5">
        <v>4115431</v>
      </c>
      <c r="AD5" t="s">
        <v>774</v>
      </c>
      <c r="AE5">
        <v>4115431</v>
      </c>
      <c r="AF5">
        <v>1543</v>
      </c>
      <c r="AG5" s="1860">
        <v>42795</v>
      </c>
      <c r="AH5" s="1860">
        <v>43585</v>
      </c>
      <c r="AI5">
        <v>4115431</v>
      </c>
      <c r="AJ5">
        <v>19</v>
      </c>
      <c r="AK5" t="s">
        <v>1067</v>
      </c>
      <c r="AN5" t="str">
        <f aca="true" t="shared" si="0" ref="AN5:AN68">AQ5&amp;AU5</f>
        <v>41147041043632672</v>
      </c>
      <c r="AO5" t="str">
        <f aca="true" t="shared" si="1" ref="AO5:AO68">AQ5&amp;AW5</f>
        <v>4114704203813700</v>
      </c>
      <c r="AP5" s="1758" t="s">
        <v>774</v>
      </c>
      <c r="AQ5" s="1759">
        <v>4114704</v>
      </c>
      <c r="AR5" s="1758" t="s">
        <v>775</v>
      </c>
      <c r="AS5" s="1758">
        <v>40950</v>
      </c>
      <c r="AT5" s="1759">
        <v>40950</v>
      </c>
      <c r="AU5" s="1758">
        <v>1043632672</v>
      </c>
      <c r="AV5" s="1758">
        <v>1043632672</v>
      </c>
      <c r="AW5" s="1758">
        <v>203813700</v>
      </c>
      <c r="AX5" s="1758" t="s">
        <v>775</v>
      </c>
      <c r="AY5" s="1758" t="s">
        <v>775</v>
      </c>
      <c r="AZ5" s="1758" t="s">
        <v>775</v>
      </c>
      <c r="BA5" s="1758" t="s">
        <v>775</v>
      </c>
      <c r="BB5" s="1758" t="s">
        <v>775</v>
      </c>
      <c r="BC5" t="s">
        <v>775</v>
      </c>
      <c r="BD5" t="s">
        <v>775</v>
      </c>
    </row>
    <row r="6" spans="1:54" ht="12" customHeight="1">
      <c r="A6" t="str">
        <f>IF(AND(_C000027&lt;&gt;"",_C000027&gt;=X5,_C000027&lt;=X6),"Correct","Error")</f>
        <v>Error</v>
      </c>
      <c r="B6" s="1510" t="s">
        <v>1000</v>
      </c>
      <c r="C6" t="s">
        <v>191</v>
      </c>
      <c r="D6" s="1503" t="str">
        <f>Schedule_A!G39</f>
        <v>and ending</v>
      </c>
      <c r="E6" s="1510" t="s">
        <v>998</v>
      </c>
      <c r="W6" t="s">
        <v>1117</v>
      </c>
      <c r="X6" s="1752">
        <v>43830</v>
      </c>
      <c r="AB6">
        <v>33600</v>
      </c>
      <c r="AC6">
        <v>4115471</v>
      </c>
      <c r="AD6" t="s">
        <v>774</v>
      </c>
      <c r="AE6">
        <v>4115471</v>
      </c>
      <c r="AF6">
        <v>1547</v>
      </c>
      <c r="AG6" s="1860">
        <v>42917</v>
      </c>
      <c r="AH6" s="1860">
        <v>43642</v>
      </c>
      <c r="AI6">
        <v>4115471</v>
      </c>
      <c r="AJ6">
        <v>19</v>
      </c>
      <c r="AK6" t="s">
        <v>848</v>
      </c>
      <c r="AN6" t="str">
        <f t="shared" si="0"/>
        <v>40000141972594810</v>
      </c>
      <c r="AO6" t="str">
        <f t="shared" si="1"/>
        <v>4000014102353300</v>
      </c>
      <c r="AP6" s="1758" t="s">
        <v>1014</v>
      </c>
      <c r="AQ6" s="1759">
        <v>4000014</v>
      </c>
      <c r="AR6" s="1758"/>
      <c r="AS6" s="1758">
        <v>40340</v>
      </c>
      <c r="AT6" s="1759">
        <v>40340</v>
      </c>
      <c r="AU6" s="1758">
        <v>1972594810</v>
      </c>
      <c r="AV6" s="1758">
        <v>1972594810</v>
      </c>
      <c r="AW6" s="1758">
        <v>102353300</v>
      </c>
      <c r="AX6" s="1758"/>
      <c r="AY6" s="1758"/>
      <c r="AZ6" s="1758"/>
      <c r="BA6" s="1758"/>
      <c r="BB6" s="1758" t="s">
        <v>775</v>
      </c>
    </row>
    <row r="7" spans="1:54" ht="12" customHeight="1">
      <c r="A7" t="str">
        <f>IF(_M000008="","Error",IF(_M000008='Revised Math Edits'!X7,"Correct","Error"))</f>
        <v>Error</v>
      </c>
      <c r="B7" s="1510" t="s">
        <v>1061</v>
      </c>
      <c r="C7" t="s">
        <v>191</v>
      </c>
      <c r="D7" s="1503" t="str">
        <f>Schedule_A!B13</f>
        <v>8.  DSHS CONTRACT LICENSE NUMBER</v>
      </c>
      <c r="E7" s="1510"/>
      <c r="W7" t="s">
        <v>1118</v>
      </c>
      <c r="X7" s="1827">
        <f>IF(ISNA(VLOOKUP(_M000008,'Revised Math Edits'!$AF$3:$AF$239,1,FALSE)),0,VLOOKUP(_M000008,'Revised Math Edits'!$AF$3:$AF$239,1,FALSE))</f>
        <v>0</v>
      </c>
      <c r="AB7">
        <v>40800</v>
      </c>
      <c r="AC7">
        <v>4113312</v>
      </c>
      <c r="AD7" t="s">
        <v>774</v>
      </c>
      <c r="AE7">
        <v>4113312</v>
      </c>
      <c r="AF7">
        <v>1331</v>
      </c>
      <c r="AG7" s="1860">
        <v>37482</v>
      </c>
      <c r="AH7" s="1860">
        <v>43677</v>
      </c>
      <c r="AI7" t="s">
        <v>775</v>
      </c>
      <c r="AJ7" t="s">
        <v>775</v>
      </c>
      <c r="AK7" t="s">
        <v>861</v>
      </c>
      <c r="AN7" t="str">
        <f t="shared" si="0"/>
        <v>40001211851381032</v>
      </c>
      <c r="AO7" t="str">
        <f t="shared" si="1"/>
        <v>4000121102059200</v>
      </c>
      <c r="AP7" s="1758" t="s">
        <v>1014</v>
      </c>
      <c r="AQ7" s="1759">
        <v>4000121</v>
      </c>
      <c r="AR7" s="1758"/>
      <c r="AS7" s="1758">
        <v>35060</v>
      </c>
      <c r="AT7" s="1759">
        <v>35060</v>
      </c>
      <c r="AU7" s="1758">
        <v>1851381032</v>
      </c>
      <c r="AV7" s="1758">
        <v>1851381032</v>
      </c>
      <c r="AW7" s="1758">
        <v>102059200</v>
      </c>
      <c r="AX7" s="1758"/>
      <c r="AY7" s="1758"/>
      <c r="AZ7" s="1758"/>
      <c r="BA7" s="1758"/>
      <c r="BB7" s="1758" t="s">
        <v>775</v>
      </c>
    </row>
    <row r="8" spans="1:56" ht="12" customHeight="1">
      <c r="A8" t="str">
        <f>IF(AND(_M000011="NA",_C903144=0),"Correct",IF(AND(_M000011&lt;&gt;"NA",_C903144&gt;0),"Correct",IF(_M000011="","Error","Error")))</f>
        <v>Error</v>
      </c>
      <c r="B8" s="1510" t="s">
        <v>1002</v>
      </c>
      <c r="C8" s="1510" t="s">
        <v>1107</v>
      </c>
      <c r="D8" s="1503" t="str">
        <f>Schedule_A!B15</f>
        <v>11.  HOME OFFICE NAME</v>
      </c>
      <c r="G8" s="1240"/>
      <c r="H8" s="1240"/>
      <c r="I8" s="1240"/>
      <c r="J8" s="1240"/>
      <c r="K8" s="1240"/>
      <c r="L8" s="1240"/>
      <c r="M8" s="1240"/>
      <c r="N8" s="1240"/>
      <c r="O8" s="1240"/>
      <c r="P8" s="1240"/>
      <c r="Q8" s="1240"/>
      <c r="R8" s="1240"/>
      <c r="S8" s="1240"/>
      <c r="T8" s="1240"/>
      <c r="U8" s="1240"/>
      <c r="V8" s="1240"/>
      <c r="W8" s="1240"/>
      <c r="AB8">
        <v>25900</v>
      </c>
      <c r="AC8">
        <v>4202115</v>
      </c>
      <c r="AD8" t="s">
        <v>774</v>
      </c>
      <c r="AE8">
        <v>4202115</v>
      </c>
      <c r="AF8">
        <v>211</v>
      </c>
      <c r="AG8" s="1860">
        <v>32874</v>
      </c>
      <c r="AH8" s="1860">
        <v>43678</v>
      </c>
      <c r="AI8" t="s">
        <v>775</v>
      </c>
      <c r="AJ8" t="s">
        <v>775</v>
      </c>
      <c r="AK8" t="s">
        <v>901</v>
      </c>
      <c r="AN8" t="str">
        <f t="shared" si="0"/>
        <v>41597031689650756</v>
      </c>
      <c r="AO8" t="str">
        <f t="shared" si="1"/>
        <v>4159703101631200</v>
      </c>
      <c r="AP8" s="1758" t="s">
        <v>774</v>
      </c>
      <c r="AQ8" s="1759">
        <v>4159703</v>
      </c>
      <c r="AR8" s="1758" t="s">
        <v>775</v>
      </c>
      <c r="AS8" s="1758">
        <v>19400</v>
      </c>
      <c r="AT8" s="1759">
        <v>19400</v>
      </c>
      <c r="AU8" s="1758">
        <v>1689650756</v>
      </c>
      <c r="AV8" s="1758">
        <v>1689650756</v>
      </c>
      <c r="AW8" s="1758">
        <v>101631200</v>
      </c>
      <c r="AX8" s="1758" t="s">
        <v>775</v>
      </c>
      <c r="AY8" s="1758" t="s">
        <v>775</v>
      </c>
      <c r="AZ8" s="1758" t="s">
        <v>775</v>
      </c>
      <c r="BA8" s="1758" t="s">
        <v>775</v>
      </c>
      <c r="BB8" s="1758" t="s">
        <v>775</v>
      </c>
      <c r="BC8" t="s">
        <v>775</v>
      </c>
      <c r="BD8" t="s">
        <v>775</v>
      </c>
    </row>
    <row r="9" spans="1:54" ht="43.5" customHeight="1">
      <c r="A9" t="str">
        <f>IF(AND(_M000286&lt;&gt;"",(SUM('Schedule_G-2_HO'!$H$1:$H$8)+SUM('Schedule_G-2'!$H$8:$H$10))&gt;0),"Correct",IF(AND(_M000286="",(SUM('Schedule_G-2_HO'!$H$1:$H$8)+SUM('Schedule_G-2'!$H$8:$H$10))=0),"Correct",IF(AND(_M000286="",_C005496&lt;&gt;0),"Correct","Error")))</f>
        <v>Correct</v>
      </c>
      <c r="B9" s="1849" t="s">
        <v>1131</v>
      </c>
      <c r="C9" s="1849" t="s">
        <v>1106</v>
      </c>
      <c r="D9" s="1503"/>
      <c r="G9" s="1240"/>
      <c r="H9" s="1240"/>
      <c r="I9" s="1240"/>
      <c r="J9" s="1240"/>
      <c r="K9" s="1240"/>
      <c r="L9" s="1240"/>
      <c r="M9" s="1240"/>
      <c r="N9" s="1240"/>
      <c r="O9" s="1240"/>
      <c r="P9" s="1240"/>
      <c r="Q9" s="1240"/>
      <c r="R9" s="1240"/>
      <c r="S9" s="1240"/>
      <c r="T9" s="1240"/>
      <c r="U9" s="1240"/>
      <c r="V9" s="1240"/>
      <c r="W9" s="1240"/>
      <c r="AB9">
        <v>39990</v>
      </c>
      <c r="AC9">
        <v>4219408</v>
      </c>
      <c r="AD9" t="s">
        <v>774</v>
      </c>
      <c r="AE9">
        <v>4219408</v>
      </c>
      <c r="AF9">
        <v>194</v>
      </c>
      <c r="AG9" s="1860">
        <v>32678</v>
      </c>
      <c r="AH9" s="1860">
        <v>43690</v>
      </c>
      <c r="AI9" t="s">
        <v>775</v>
      </c>
      <c r="AJ9" t="s">
        <v>775</v>
      </c>
      <c r="AK9" t="s">
        <v>872</v>
      </c>
      <c r="AN9" t="str">
        <f t="shared" si="0"/>
        <v>40154811548627011</v>
      </c>
      <c r="AO9" t="str">
        <f t="shared" si="1"/>
        <v>4015481207544900</v>
      </c>
      <c r="AP9" s="1758" t="s">
        <v>1014</v>
      </c>
      <c r="AQ9" s="1759">
        <v>4015481</v>
      </c>
      <c r="AR9" s="1758"/>
      <c r="AS9" s="1758">
        <v>41116</v>
      </c>
      <c r="AT9" s="1759">
        <v>41116</v>
      </c>
      <c r="AU9" s="1758">
        <v>1548627011</v>
      </c>
      <c r="AV9" s="1758">
        <v>1548627011</v>
      </c>
      <c r="AW9" s="1758">
        <v>207544900</v>
      </c>
      <c r="AX9" s="1758"/>
      <c r="AY9" s="1758"/>
      <c r="AZ9" s="1758"/>
      <c r="BA9" s="1758"/>
      <c r="BB9" s="1758" t="s">
        <v>775</v>
      </c>
    </row>
    <row r="10" spans="1:54" ht="12" customHeight="1">
      <c r="A10" t="str">
        <f>IF(ABS(_C001409+_C001609-_C041400)&lt;0.999,"Correct","Error")</f>
        <v>Correct</v>
      </c>
      <c r="B10" s="1510" t="s">
        <v>1132</v>
      </c>
      <c r="C10" t="s">
        <v>545</v>
      </c>
      <c r="D10" s="1501">
        <f>Schedule_B!B50</f>
        <v>35</v>
      </c>
      <c r="E10" s="1501" t="str">
        <f>Schedule_B!C50</f>
        <v>NET BOOK VALUE - FACILITY ASSETS</v>
      </c>
      <c r="F10" s="1501"/>
      <c r="AB10">
        <v>5100</v>
      </c>
      <c r="AC10">
        <v>4113361</v>
      </c>
      <c r="AD10" t="s">
        <v>774</v>
      </c>
      <c r="AE10">
        <v>4113361</v>
      </c>
      <c r="AF10">
        <v>1336</v>
      </c>
      <c r="AG10" s="1860">
        <v>37653</v>
      </c>
      <c r="AH10" s="1860">
        <v>43693</v>
      </c>
      <c r="AI10" t="s">
        <v>775</v>
      </c>
      <c r="AJ10" t="s">
        <v>775</v>
      </c>
      <c r="AK10" t="s">
        <v>912</v>
      </c>
      <c r="AN10" t="str">
        <f t="shared" si="0"/>
        <v>41048081972508141</v>
      </c>
      <c r="AO10" t="str">
        <f t="shared" si="1"/>
        <v>4104808102341600</v>
      </c>
      <c r="AP10" s="1758" t="s">
        <v>940</v>
      </c>
      <c r="AQ10" s="1759">
        <v>4104808</v>
      </c>
      <c r="AR10" s="1758"/>
      <c r="AS10" s="1758">
        <v>1200</v>
      </c>
      <c r="AT10" s="1759">
        <v>1200</v>
      </c>
      <c r="AU10" s="1758">
        <v>1972508141</v>
      </c>
      <c r="AV10" s="1758">
        <v>1972508141</v>
      </c>
      <c r="AW10" s="1758">
        <v>102341600</v>
      </c>
      <c r="AX10" s="1758"/>
      <c r="AY10" s="1758"/>
      <c r="AZ10" s="1758"/>
      <c r="BA10" s="1758"/>
      <c r="BB10" s="1758" t="s">
        <v>775</v>
      </c>
    </row>
    <row r="11" spans="1:54" ht="12" customHeight="1">
      <c r="A11" t="str">
        <f>IF(ABS(_C041400+_C001470+_C001480+_C001680-_C007057)&lt;0.999,"Correct","Error")</f>
        <v>Correct</v>
      </c>
      <c r="B11" s="1510" t="s">
        <v>1132</v>
      </c>
      <c r="C11" t="s">
        <v>545</v>
      </c>
      <c r="D11" s="1501">
        <f>Schedule_B!B67</f>
        <v>39</v>
      </c>
      <c r="E11" s="1501" t="str">
        <f>Schedule_B!C67</f>
        <v>NET PROPERTY, PLANT AND EQUIPMENT</v>
      </c>
      <c r="F11" s="1501"/>
      <c r="AB11">
        <v>25200</v>
      </c>
      <c r="AC11">
        <v>4167904</v>
      </c>
      <c r="AD11" t="s">
        <v>774</v>
      </c>
      <c r="AE11">
        <v>4167904</v>
      </c>
      <c r="AF11">
        <v>679</v>
      </c>
      <c r="AG11" s="1860">
        <v>28856</v>
      </c>
      <c r="AH11" s="1860">
        <v>43720</v>
      </c>
      <c r="AI11" t="s">
        <v>775</v>
      </c>
      <c r="AJ11" t="s">
        <v>775</v>
      </c>
      <c r="AK11" t="s">
        <v>899</v>
      </c>
      <c r="AN11" t="str">
        <f t="shared" si="0"/>
        <v>41077021952386369</v>
      </c>
      <c r="AO11" t="str">
        <f t="shared" si="1"/>
        <v>4107702102302300</v>
      </c>
      <c r="AP11" s="1758" t="s">
        <v>851</v>
      </c>
      <c r="AQ11" s="1759">
        <v>4107702</v>
      </c>
      <c r="AR11" s="1758"/>
      <c r="AS11" s="1758">
        <v>1400</v>
      </c>
      <c r="AT11" s="1759">
        <v>1400</v>
      </c>
      <c r="AU11" s="1758">
        <v>1952386369</v>
      </c>
      <c r="AV11" s="1758">
        <v>1952386369</v>
      </c>
      <c r="AW11" s="1758">
        <v>102302300</v>
      </c>
      <c r="AX11" s="1758"/>
      <c r="AY11" s="1758"/>
      <c r="AZ11" s="1758"/>
      <c r="BA11" s="1758"/>
      <c r="BB11" s="1758" t="s">
        <v>775</v>
      </c>
    </row>
    <row r="12" spans="1:54" ht="12" customHeight="1">
      <c r="A12" t="str">
        <f>IF(ABS(_C007055+_C007057+_C007058-_C007059)&lt;0.999,"Correct","Correct")</f>
        <v>Correct</v>
      </c>
      <c r="B12" s="1510" t="s">
        <v>1132</v>
      </c>
      <c r="C12" t="s">
        <v>545</v>
      </c>
      <c r="D12" s="1501">
        <f>Schedule_B!B78</f>
        <v>48</v>
      </c>
      <c r="E12" s="1501" t="str">
        <f>Schedule_B!C78</f>
        <v>TOTAL ASSETS    (Lines 14 + 39 + 47)</v>
      </c>
      <c r="F12" s="1501"/>
      <c r="AB12">
        <v>14900</v>
      </c>
      <c r="AC12">
        <v>4113718</v>
      </c>
      <c r="AD12" t="s">
        <v>851</v>
      </c>
      <c r="AE12">
        <v>4113718</v>
      </c>
      <c r="AF12">
        <v>1371</v>
      </c>
      <c r="AG12" s="1860">
        <v>38353</v>
      </c>
      <c r="AH12" s="1860">
        <v>43799</v>
      </c>
      <c r="AI12" t="s">
        <v>775</v>
      </c>
      <c r="AJ12" t="s">
        <v>775</v>
      </c>
      <c r="AK12" t="s">
        <v>1144</v>
      </c>
      <c r="AN12" t="str">
        <f t="shared" si="0"/>
        <v>41104901497884043</v>
      </c>
      <c r="AO12" t="str">
        <f t="shared" si="1"/>
        <v>4110490101192000</v>
      </c>
      <c r="AP12" s="1758" t="s">
        <v>1014</v>
      </c>
      <c r="AQ12" s="1759">
        <v>4110490</v>
      </c>
      <c r="AR12" s="1758"/>
      <c r="AS12" s="1758">
        <v>40020</v>
      </c>
      <c r="AT12" s="1759">
        <v>40020</v>
      </c>
      <c r="AU12" s="1758">
        <v>1497884043</v>
      </c>
      <c r="AV12" s="1758">
        <v>1497884043</v>
      </c>
      <c r="AW12" s="1758">
        <v>101192000</v>
      </c>
      <c r="AX12" s="1758"/>
      <c r="AY12" s="1758"/>
      <c r="AZ12" s="1758"/>
      <c r="BA12" s="1758"/>
      <c r="BB12" s="1758" t="s">
        <v>775</v>
      </c>
    </row>
    <row r="13" spans="1:54" ht="12" customHeight="1">
      <c r="A13" t="str">
        <f>IF(ABS(_C007060+_C007061+_C007065-_C007066)&lt;0.999,"Correct",IF(ISERROR(_C007066),"Error","Error"))</f>
        <v>Correct</v>
      </c>
      <c r="B13" s="1510" t="s">
        <v>1132</v>
      </c>
      <c r="C13" t="s">
        <v>545</v>
      </c>
      <c r="D13" s="1501">
        <f>Schedule_B!B128</f>
        <v>81</v>
      </c>
      <c r="E13" s="1501" t="str">
        <f>Schedule_B!C128</f>
        <v>TOTAL LIABILITIES AND EQUITY</v>
      </c>
      <c r="F13" s="1501"/>
      <c r="AB13">
        <v>9000</v>
      </c>
      <c r="AC13">
        <v>4115451</v>
      </c>
      <c r="AD13" t="s">
        <v>851</v>
      </c>
      <c r="AE13">
        <v>4115451</v>
      </c>
      <c r="AF13">
        <v>1545</v>
      </c>
      <c r="AG13" s="1860">
        <v>42867</v>
      </c>
      <c r="AH13" s="1860">
        <v>43799</v>
      </c>
      <c r="AI13" t="s">
        <v>775</v>
      </c>
      <c r="AJ13" t="s">
        <v>775</v>
      </c>
      <c r="AK13" t="s">
        <v>1145</v>
      </c>
      <c r="AN13" t="str">
        <f t="shared" si="0"/>
        <v>41105081992701767</v>
      </c>
      <c r="AO13" t="str">
        <f t="shared" si="1"/>
        <v>4110508102385700</v>
      </c>
      <c r="AP13" s="1758" t="s">
        <v>1014</v>
      </c>
      <c r="AQ13" s="1759">
        <v>4110508</v>
      </c>
      <c r="AR13" s="1758"/>
      <c r="AS13" s="1758">
        <v>2600</v>
      </c>
      <c r="AT13" s="1759">
        <v>2600</v>
      </c>
      <c r="AU13" s="1758">
        <v>1992701767</v>
      </c>
      <c r="AV13" s="1758">
        <v>1992701767</v>
      </c>
      <c r="AW13" s="1758">
        <v>102385700</v>
      </c>
      <c r="AX13" s="1758"/>
      <c r="AY13" s="1758"/>
      <c r="AZ13" s="1758"/>
      <c r="BA13" s="1758">
        <v>50</v>
      </c>
      <c r="BB13" s="1758" t="s">
        <v>775</v>
      </c>
    </row>
    <row r="14" spans="1:54" ht="12" customHeight="1">
      <c r="A14" t="str">
        <f>IF(_C007066&lt;&gt;0,"Correct","Error")</f>
        <v>Error</v>
      </c>
      <c r="B14" s="1510" t="s">
        <v>1133</v>
      </c>
      <c r="C14" t="s">
        <v>545</v>
      </c>
      <c r="D14" s="1501">
        <f>Schedule_B!B128</f>
        <v>81</v>
      </c>
      <c r="E14" s="1501" t="str">
        <f>Schedule_B!C128</f>
        <v>TOTAL LIABILITIES AND EQUITY</v>
      </c>
      <c r="F14" s="1501"/>
      <c r="AB14">
        <v>40120</v>
      </c>
      <c r="AC14">
        <v>4110656</v>
      </c>
      <c r="AD14" t="s">
        <v>788</v>
      </c>
      <c r="AE14">
        <v>4110656</v>
      </c>
      <c r="AF14">
        <v>1065</v>
      </c>
      <c r="AG14" s="1860">
        <v>33364</v>
      </c>
      <c r="AH14" s="1860">
        <v>523456</v>
      </c>
      <c r="AI14" t="s">
        <v>775</v>
      </c>
      <c r="AJ14" t="s">
        <v>775</v>
      </c>
      <c r="AK14" t="s">
        <v>789</v>
      </c>
      <c r="AN14" t="str">
        <f t="shared" si="0"/>
        <v>41106561568429900</v>
      </c>
      <c r="AO14" t="str">
        <f t="shared" si="1"/>
        <v>4110656101339500</v>
      </c>
      <c r="AP14" s="1758" t="s">
        <v>788</v>
      </c>
      <c r="AQ14" s="1759">
        <v>4110656</v>
      </c>
      <c r="AR14" s="1758"/>
      <c r="AS14" s="1758">
        <v>40120</v>
      </c>
      <c r="AT14" s="1759">
        <v>40120</v>
      </c>
      <c r="AU14" s="1758">
        <v>1568429900</v>
      </c>
      <c r="AV14" s="1758">
        <v>1568429900</v>
      </c>
      <c r="AW14" s="1758">
        <v>101339500</v>
      </c>
      <c r="AX14" s="1758"/>
      <c r="AY14" s="1758"/>
      <c r="AZ14" s="1758"/>
      <c r="BA14" s="1758"/>
      <c r="BB14" s="1758" t="s">
        <v>775</v>
      </c>
    </row>
    <row r="15" spans="1:54" ht="12" customHeight="1">
      <c r="A15" t="str">
        <f>IF(_C007067&gt;0,"Correct","Error")</f>
        <v>Error</v>
      </c>
      <c r="B15" s="1510" t="s">
        <v>1134</v>
      </c>
      <c r="C15" t="s">
        <v>192</v>
      </c>
      <c r="D15" s="1501">
        <f>Schedule_G!B436</f>
        <v>335</v>
      </c>
      <c r="E15" s="1501" t="str">
        <f>Schedule_G!H436</f>
        <v>AVERAGE CHARGE TO PRIVATE PATIENTS (WAC 388-96-760) - </v>
      </c>
      <c r="F15" s="1501"/>
      <c r="AB15">
        <v>40450</v>
      </c>
      <c r="AC15">
        <v>4111613</v>
      </c>
      <c r="AD15" t="s">
        <v>788</v>
      </c>
      <c r="AE15">
        <v>4111613</v>
      </c>
      <c r="AF15">
        <v>1161</v>
      </c>
      <c r="AG15" s="1860">
        <v>34747</v>
      </c>
      <c r="AH15" s="1860">
        <v>523456</v>
      </c>
      <c r="AI15" t="s">
        <v>775</v>
      </c>
      <c r="AJ15" t="s">
        <v>775</v>
      </c>
      <c r="AK15" t="s">
        <v>790</v>
      </c>
      <c r="AN15" t="str">
        <f t="shared" si="0"/>
        <v>41106641063403368</v>
      </c>
      <c r="AO15" t="str">
        <f t="shared" si="1"/>
        <v>4110664104268800</v>
      </c>
      <c r="AP15" s="1758" t="s">
        <v>774</v>
      </c>
      <c r="AQ15" s="1759">
        <v>4110664</v>
      </c>
      <c r="AR15" s="1758"/>
      <c r="AS15" s="1758">
        <v>40130</v>
      </c>
      <c r="AT15" s="1759">
        <v>40130</v>
      </c>
      <c r="AU15" s="1758">
        <v>1063403368</v>
      </c>
      <c r="AV15" s="1758">
        <v>1063403368</v>
      </c>
      <c r="AW15" s="1758">
        <v>104268800</v>
      </c>
      <c r="AX15" s="1758"/>
      <c r="AY15" s="1758"/>
      <c r="AZ15" s="1758"/>
      <c r="BA15" s="1758">
        <v>50</v>
      </c>
      <c r="BB15" s="1758" t="s">
        <v>775</v>
      </c>
    </row>
    <row r="16" spans="1:54" ht="12" customHeight="1">
      <c r="A16" t="str">
        <f>IF(ABS(_C007045+_C007046+_C007047+_C004600+_C004500-_C007048)&lt;0.999,"Correct","Error")</f>
        <v>Correct</v>
      </c>
      <c r="B16" s="1510" t="s">
        <v>1132</v>
      </c>
      <c r="C16" t="s">
        <v>192</v>
      </c>
      <c r="D16" s="1501">
        <f>Schedule_G!B51</f>
        <v>43</v>
      </c>
      <c r="E16" s="1501" t="str">
        <f>Schedule_G!C51</f>
        <v>TOTAL REVENUE</v>
      </c>
      <c r="F16" s="1501"/>
      <c r="AB16">
        <v>40540</v>
      </c>
      <c r="AC16">
        <v>4112215</v>
      </c>
      <c r="AD16" t="s">
        <v>788</v>
      </c>
      <c r="AE16">
        <v>4112215</v>
      </c>
      <c r="AF16">
        <v>1221</v>
      </c>
      <c r="AG16" s="1860">
        <v>35490</v>
      </c>
      <c r="AH16" s="1860">
        <v>523456</v>
      </c>
      <c r="AI16" t="s">
        <v>775</v>
      </c>
      <c r="AJ16" t="s">
        <v>775</v>
      </c>
      <c r="AK16" t="s">
        <v>791</v>
      </c>
      <c r="AN16" t="str">
        <f t="shared" si="0"/>
        <v>41106721992704126</v>
      </c>
      <c r="AO16" t="str">
        <f t="shared" si="1"/>
        <v>4110672102386600</v>
      </c>
      <c r="AP16" s="1758" t="s">
        <v>851</v>
      </c>
      <c r="AQ16" s="1759">
        <v>4110672</v>
      </c>
      <c r="AR16" s="1758"/>
      <c r="AS16" s="1758">
        <v>40150</v>
      </c>
      <c r="AT16" s="1759">
        <v>40150</v>
      </c>
      <c r="AU16" s="1758">
        <v>1992704126</v>
      </c>
      <c r="AV16" s="1758">
        <v>1992704126</v>
      </c>
      <c r="AW16" s="1758">
        <v>102386600</v>
      </c>
      <c r="AX16" s="1758"/>
      <c r="AY16" s="1758"/>
      <c r="AZ16" s="1758"/>
      <c r="BA16" s="1758"/>
      <c r="BB16" s="1758" t="s">
        <v>775</v>
      </c>
    </row>
    <row r="17" spans="1:54" ht="12" customHeight="1">
      <c r="A17" t="str">
        <f>IF(ABS(_C007026+_C005117+_C005116+_C005118+_C005114+_C005115+_C005119+-_C009900)&lt;0.999,"Correct","Error")</f>
        <v>Correct</v>
      </c>
      <c r="B17" s="1510" t="s">
        <v>1132</v>
      </c>
      <c r="C17" t="s">
        <v>192</v>
      </c>
      <c r="D17" s="1501">
        <f>Schedule_G!B123</f>
        <v>97</v>
      </c>
      <c r="E17" s="1501" t="str">
        <f>Schedule_G!C123</f>
        <v>TOTAL NURSING </v>
      </c>
      <c r="F17" s="1501"/>
      <c r="AB17">
        <v>10030</v>
      </c>
      <c r="AC17">
        <v>4112835</v>
      </c>
      <c r="AD17" t="s">
        <v>788</v>
      </c>
      <c r="AE17">
        <v>4112835</v>
      </c>
      <c r="AF17">
        <v>1283</v>
      </c>
      <c r="AG17" s="1860">
        <v>37306</v>
      </c>
      <c r="AH17" s="1860">
        <v>523456</v>
      </c>
      <c r="AI17" t="s">
        <v>775</v>
      </c>
      <c r="AJ17" t="s">
        <v>775</v>
      </c>
      <c r="AK17" t="s">
        <v>792</v>
      </c>
      <c r="AN17" t="str">
        <f t="shared" si="0"/>
        <v>41107631881648061</v>
      </c>
      <c r="AO17" t="str">
        <f t="shared" si="1"/>
        <v>4110763102126300</v>
      </c>
      <c r="AP17" s="1758" t="s">
        <v>851</v>
      </c>
      <c r="AQ17" s="1759">
        <v>4110763</v>
      </c>
      <c r="AR17" s="1758"/>
      <c r="AS17" s="1758">
        <v>35090</v>
      </c>
      <c r="AT17" s="1759">
        <v>35090</v>
      </c>
      <c r="AU17" s="1758">
        <v>1881648061</v>
      </c>
      <c r="AV17" s="1758">
        <v>1881648061</v>
      </c>
      <c r="AW17" s="1758">
        <v>102126300</v>
      </c>
      <c r="AX17" s="1758"/>
      <c r="AY17" s="1758"/>
      <c r="AZ17" s="1758"/>
      <c r="BA17" s="1758"/>
      <c r="BB17" s="1758" t="s">
        <v>775</v>
      </c>
    </row>
    <row r="18" spans="1:54" ht="12" customHeight="1">
      <c r="A18" t="str">
        <f>IF(ABS(_C511110-_C620097)&lt;0.999,"Correct","Error")</f>
        <v>Correct</v>
      </c>
      <c r="B18" s="1510" t="s">
        <v>1001</v>
      </c>
      <c r="C18" t="s">
        <v>192</v>
      </c>
      <c r="D18" s="1501">
        <f>Schedule_G!B124</f>
        <v>98</v>
      </c>
      <c r="E18" s="1501" t="str">
        <f>Schedule_G!C124</f>
        <v>THERAPY    (Schedule G-7, Line 21)</v>
      </c>
      <c r="F18" s="1501"/>
      <c r="AB18">
        <v>36600</v>
      </c>
      <c r="AC18">
        <v>4113049</v>
      </c>
      <c r="AD18" t="s">
        <v>788</v>
      </c>
      <c r="AE18">
        <v>4113049</v>
      </c>
      <c r="AF18">
        <v>1304</v>
      </c>
      <c r="AG18" s="1860">
        <v>36708</v>
      </c>
      <c r="AH18" s="1860">
        <v>523456</v>
      </c>
      <c r="AI18" t="s">
        <v>775</v>
      </c>
      <c r="AJ18" t="s">
        <v>775</v>
      </c>
      <c r="AK18" t="s">
        <v>793</v>
      </c>
      <c r="AN18" t="str">
        <f t="shared" si="0"/>
        <v>41109461508864935</v>
      </c>
      <c r="AO18" t="str">
        <f t="shared" si="1"/>
        <v>4110946101206100</v>
      </c>
      <c r="AP18" s="1758" t="s">
        <v>940</v>
      </c>
      <c r="AQ18" s="1759">
        <v>4110946</v>
      </c>
      <c r="AR18" s="1758"/>
      <c r="AS18" s="1758">
        <v>35040</v>
      </c>
      <c r="AT18" s="1759">
        <v>35040</v>
      </c>
      <c r="AU18" s="1758">
        <v>1508864935</v>
      </c>
      <c r="AV18" s="1758">
        <v>1508864935</v>
      </c>
      <c r="AW18" s="1758">
        <v>101206100</v>
      </c>
      <c r="AX18" s="1758"/>
      <c r="AY18" s="1758"/>
      <c r="AZ18" s="1758"/>
      <c r="BA18" s="1758"/>
      <c r="BB18" s="1758" t="s">
        <v>775</v>
      </c>
    </row>
    <row r="19" spans="1:54" ht="12" customHeight="1">
      <c r="A19" t="str">
        <f>IF(ABS((_C009900+_C511110+_C007028+_C007017+_C007019+_C009903)-_C009999)&lt;0.999,"Correct","Error")</f>
        <v>Correct</v>
      </c>
      <c r="B19" s="1510" t="s">
        <v>1132</v>
      </c>
      <c r="C19" t="s">
        <v>192</v>
      </c>
      <c r="D19" s="1501">
        <f>Schedule_G!B147</f>
        <v>121</v>
      </c>
      <c r="E19" s="1501" t="str">
        <f>Schedule_G!C147</f>
        <v>TOTAL DIRECT CARE EXPENSES</v>
      </c>
      <c r="F19" s="1501"/>
      <c r="AB19">
        <v>40270</v>
      </c>
      <c r="AC19">
        <v>4113338</v>
      </c>
      <c r="AD19" t="s">
        <v>788</v>
      </c>
      <c r="AE19">
        <v>4113338</v>
      </c>
      <c r="AF19">
        <v>1333</v>
      </c>
      <c r="AG19" s="1860">
        <v>37591</v>
      </c>
      <c r="AH19" s="1860">
        <v>523456</v>
      </c>
      <c r="AI19" t="s">
        <v>775</v>
      </c>
      <c r="AJ19" t="s">
        <v>775</v>
      </c>
      <c r="AK19" t="s">
        <v>794</v>
      </c>
      <c r="AN19" t="str">
        <f t="shared" si="0"/>
        <v>41110271245284835</v>
      </c>
      <c r="AO19" t="str">
        <f t="shared" si="1"/>
        <v>4111027100583400</v>
      </c>
      <c r="AP19" s="1758" t="s">
        <v>851</v>
      </c>
      <c r="AQ19" s="1759">
        <v>4111027</v>
      </c>
      <c r="AR19" s="1758"/>
      <c r="AS19" s="1758">
        <v>33200</v>
      </c>
      <c r="AT19" s="1759">
        <v>33200</v>
      </c>
      <c r="AU19" s="1758">
        <v>1245284835</v>
      </c>
      <c r="AV19" s="1758">
        <v>1245284835</v>
      </c>
      <c r="AW19" s="1758">
        <v>100583400</v>
      </c>
      <c r="AX19" s="1758"/>
      <c r="AY19" s="1758"/>
      <c r="AZ19" s="1758"/>
      <c r="BA19" s="1758"/>
      <c r="BB19" s="1758" t="s">
        <v>775</v>
      </c>
    </row>
    <row r="20" spans="1:54" ht="12" customHeight="1">
      <c r="A20" t="str">
        <f>IF(ABS((_C007024+_C541220+_C541230+_C005418+_C005416+_C005413+_C007025+_C005415+_C005496+_C005422+_C005423+_C005424+_C005425+_C005426+_C005428+_C005429+_C005430+_C005431+_C005434+_C005436+_C005437+_C005438+_C005439+_C009905)-_C007023)&lt;0.999,"Correct","Error")</f>
        <v>Correct</v>
      </c>
      <c r="B20" s="1510" t="s">
        <v>1132</v>
      </c>
      <c r="C20" t="s">
        <v>192</v>
      </c>
      <c r="D20" s="1501">
        <f>Schedule_G!B223</f>
        <v>177</v>
      </c>
      <c r="E20" s="1501" t="str">
        <f>Schedule_G!C223</f>
        <v>TOTAL ADMINISTRATIVE</v>
      </c>
      <c r="F20" s="1501"/>
      <c r="AB20">
        <v>18800</v>
      </c>
      <c r="AC20">
        <v>4113346</v>
      </c>
      <c r="AD20" t="s">
        <v>788</v>
      </c>
      <c r="AE20">
        <v>4113346</v>
      </c>
      <c r="AF20">
        <v>1334</v>
      </c>
      <c r="AG20" s="1860">
        <v>37591</v>
      </c>
      <c r="AH20" s="1860">
        <v>523456</v>
      </c>
      <c r="AI20" t="s">
        <v>775</v>
      </c>
      <c r="AJ20" t="s">
        <v>775</v>
      </c>
      <c r="AK20" t="s">
        <v>795</v>
      </c>
      <c r="AN20" t="str">
        <f t="shared" si="0"/>
        <v>41110681720073604</v>
      </c>
      <c r="AO20" t="str">
        <f t="shared" si="1"/>
        <v>4111068101733100</v>
      </c>
      <c r="AP20" s="1758" t="s">
        <v>1014</v>
      </c>
      <c r="AQ20" s="1759">
        <v>4111068</v>
      </c>
      <c r="AR20" s="1758"/>
      <c r="AS20" s="1758">
        <v>40260</v>
      </c>
      <c r="AT20" s="1759">
        <v>40260</v>
      </c>
      <c r="AU20" s="1758">
        <v>1720073604</v>
      </c>
      <c r="AV20" s="1758">
        <v>1720073604</v>
      </c>
      <c r="AW20" s="1758">
        <v>101733100</v>
      </c>
      <c r="AX20" s="1758"/>
      <c r="AY20" s="1758"/>
      <c r="AZ20" s="1758">
        <v>45</v>
      </c>
      <c r="BA20" s="1758"/>
      <c r="BB20" s="1758" t="s">
        <v>775</v>
      </c>
    </row>
    <row r="21" spans="1:54" ht="12" customHeight="1">
      <c r="A21" t="str">
        <f>IF(ABS((_C007023+_C007016+_C007018+_C007020+_C009904)-_C009902)&lt;0.999,"Correct","Error")</f>
        <v>Correct</v>
      </c>
      <c r="B21" s="1510" t="s">
        <v>1132</v>
      </c>
      <c r="C21" t="s">
        <v>192</v>
      </c>
      <c r="D21" s="1501">
        <f>Schedule_G!B264</f>
        <v>207</v>
      </c>
      <c r="E21" s="1501" t="str">
        <f>Schedule_G!C264</f>
        <v>TOTAL INDIRECT CARE</v>
      </c>
      <c r="F21" s="1501"/>
      <c r="AB21">
        <v>8700</v>
      </c>
      <c r="AC21">
        <v>4113643</v>
      </c>
      <c r="AD21" t="s">
        <v>788</v>
      </c>
      <c r="AE21">
        <v>4113643</v>
      </c>
      <c r="AF21">
        <v>1364</v>
      </c>
      <c r="AG21" s="1860">
        <v>38019</v>
      </c>
      <c r="AH21" s="1860">
        <v>523456</v>
      </c>
      <c r="AI21" t="s">
        <v>775</v>
      </c>
      <c r="AJ21" t="s">
        <v>775</v>
      </c>
      <c r="AK21" t="s">
        <v>796</v>
      </c>
      <c r="AN21" t="str">
        <f t="shared" si="0"/>
        <v>41110761841246659</v>
      </c>
      <c r="AO21" t="str">
        <f t="shared" si="1"/>
        <v>4111076102027500</v>
      </c>
      <c r="AP21" s="1758" t="s">
        <v>851</v>
      </c>
      <c r="AQ21" s="1759">
        <v>4111076</v>
      </c>
      <c r="AR21" s="1758"/>
      <c r="AS21" s="1758">
        <v>16500</v>
      </c>
      <c r="AT21" s="1759">
        <v>16500</v>
      </c>
      <c r="AU21" s="1758">
        <v>1841246659</v>
      </c>
      <c r="AV21" s="1758">
        <v>1841246659</v>
      </c>
      <c r="AW21" s="1758">
        <v>102027500</v>
      </c>
      <c r="AX21" s="1758"/>
      <c r="AY21" s="1758"/>
      <c r="AZ21" s="1758"/>
      <c r="BA21" s="1758"/>
      <c r="BB21" s="1758" t="s">
        <v>775</v>
      </c>
    </row>
    <row r="22" spans="1:54" ht="12" customHeight="1">
      <c r="A22" t="str">
        <f>IF(ABS(_C009999+_C009902-_C007022)&lt;0.999,"Correct","Error")</f>
        <v>Correct</v>
      </c>
      <c r="B22" s="1510" t="s">
        <v>1132</v>
      </c>
      <c r="C22" t="s">
        <v>192</v>
      </c>
      <c r="D22" s="1501">
        <f>Schedule_G!B265</f>
        <v>208</v>
      </c>
      <c r="E22" s="1501" t="str">
        <f>Schedule_G!C265</f>
        <v>TOTAL ROUTINE EXPENSES</v>
      </c>
      <c r="F22" s="1501"/>
      <c r="AB22">
        <v>10200</v>
      </c>
      <c r="AC22">
        <v>4113916</v>
      </c>
      <c r="AD22" t="s">
        <v>788</v>
      </c>
      <c r="AE22">
        <v>4113916</v>
      </c>
      <c r="AF22">
        <v>1391</v>
      </c>
      <c r="AG22" s="1860">
        <v>38749</v>
      </c>
      <c r="AH22" s="1860">
        <v>523456</v>
      </c>
      <c r="AI22" t="s">
        <v>775</v>
      </c>
      <c r="AJ22" t="s">
        <v>775</v>
      </c>
      <c r="AK22" t="s">
        <v>797</v>
      </c>
      <c r="AN22" t="str">
        <f t="shared" si="0"/>
        <v>41111341861597205</v>
      </c>
      <c r="AO22" t="str">
        <f t="shared" si="1"/>
        <v>4111134102095100</v>
      </c>
      <c r="AP22" s="1758" t="s">
        <v>873</v>
      </c>
      <c r="AQ22" s="1759">
        <v>4111134</v>
      </c>
      <c r="AR22" s="1758"/>
      <c r="AS22" s="1758">
        <v>40280</v>
      </c>
      <c r="AT22" s="1759">
        <v>40280</v>
      </c>
      <c r="AU22" s="1758">
        <v>1861597205</v>
      </c>
      <c r="AV22" s="1758">
        <v>1861597205</v>
      </c>
      <c r="AW22" s="1758">
        <v>102095100</v>
      </c>
      <c r="AX22" s="1758"/>
      <c r="AY22" s="1758"/>
      <c r="AZ22" s="1758"/>
      <c r="BA22" s="1758"/>
      <c r="BB22" s="1758" t="s">
        <v>775</v>
      </c>
    </row>
    <row r="23" spans="1:54" ht="12" customHeight="1">
      <c r="A23" t="str">
        <f>IF(ABS(_C006227+_C006247+_C006287+_C006297+_C902028+_C007014-_C007010)&lt;0.999,"Correct","Error")</f>
        <v>Correct</v>
      </c>
      <c r="B23" s="1510" t="s">
        <v>1132</v>
      </c>
      <c r="C23" t="s">
        <v>192</v>
      </c>
      <c r="D23" s="1501">
        <f>Schedule_G!B345</f>
        <v>267</v>
      </c>
      <c r="E23" s="1501" t="str">
        <f>Schedule_G!C345</f>
        <v>TOTAL OTHER PATIENT EXPENSES</v>
      </c>
      <c r="F23" s="1501"/>
      <c r="AB23">
        <v>3500</v>
      </c>
      <c r="AC23">
        <v>4114229</v>
      </c>
      <c r="AD23" t="s">
        <v>788</v>
      </c>
      <c r="AE23">
        <v>4114229</v>
      </c>
      <c r="AF23">
        <v>1422</v>
      </c>
      <c r="AG23" s="1860">
        <v>40148</v>
      </c>
      <c r="AH23" s="1860">
        <v>523456</v>
      </c>
      <c r="AI23" t="s">
        <v>775</v>
      </c>
      <c r="AJ23" t="s">
        <v>775</v>
      </c>
      <c r="AK23" t="s">
        <v>798</v>
      </c>
      <c r="AN23" t="str">
        <f t="shared" si="0"/>
        <v>41116131386691467</v>
      </c>
      <c r="AO23" t="str">
        <f t="shared" si="1"/>
        <v>4111613100919500</v>
      </c>
      <c r="AP23" s="1758" t="s">
        <v>788</v>
      </c>
      <c r="AQ23" s="1759">
        <v>4111613</v>
      </c>
      <c r="AR23" s="1758"/>
      <c r="AS23" s="1758">
        <v>40450</v>
      </c>
      <c r="AT23" s="1759">
        <v>40450</v>
      </c>
      <c r="AU23" s="1758">
        <v>1386691467</v>
      </c>
      <c r="AV23" s="1758">
        <v>1386691467</v>
      </c>
      <c r="AW23" s="1758">
        <v>100919500</v>
      </c>
      <c r="AX23" s="1758"/>
      <c r="AY23" s="1758"/>
      <c r="AZ23" s="1758">
        <v>45</v>
      </c>
      <c r="BA23" s="1758">
        <v>50</v>
      </c>
      <c r="BB23" s="1758" t="s">
        <v>775</v>
      </c>
    </row>
    <row r="24" spans="1:56" ht="12" customHeight="1">
      <c r="A24" t="str">
        <f>IF(ABS(_C007022+_C007010+_C006500+_C007005-_C007006)&lt;0.999,"Correct","Error")</f>
        <v>Correct</v>
      </c>
      <c r="B24" s="1510" t="s">
        <v>1132</v>
      </c>
      <c r="C24" t="s">
        <v>192</v>
      </c>
      <c r="D24" s="1501">
        <f>Schedule_G!B431</f>
        <v>332</v>
      </c>
      <c r="E24" s="1501" t="str">
        <f>Schedule_G!C431</f>
        <v>TOTAL EXPENSES</v>
      </c>
      <c r="F24" s="1501"/>
      <c r="AB24">
        <v>33700</v>
      </c>
      <c r="AC24">
        <v>4114237</v>
      </c>
      <c r="AD24" t="s">
        <v>788</v>
      </c>
      <c r="AE24">
        <v>4114237</v>
      </c>
      <c r="AF24">
        <v>1423</v>
      </c>
      <c r="AG24" s="1860">
        <v>40269</v>
      </c>
      <c r="AH24" s="1860">
        <v>523456</v>
      </c>
      <c r="AI24" t="s">
        <v>775</v>
      </c>
      <c r="AJ24" t="s">
        <v>775</v>
      </c>
      <c r="AK24" t="s">
        <v>799</v>
      </c>
      <c r="AN24" t="str">
        <f t="shared" si="0"/>
        <v>41137831770520249</v>
      </c>
      <c r="AO24" t="str">
        <f t="shared" si="1"/>
        <v>4113783101851400</v>
      </c>
      <c r="AP24" s="1758" t="s">
        <v>774</v>
      </c>
      <c r="AQ24" s="1759">
        <v>4113783</v>
      </c>
      <c r="AR24" s="1758" t="s">
        <v>775</v>
      </c>
      <c r="AS24" s="1758">
        <v>12700</v>
      </c>
      <c r="AT24" s="1759">
        <v>12700</v>
      </c>
      <c r="AU24" s="1758">
        <v>1770520249</v>
      </c>
      <c r="AV24" s="1758">
        <v>1770520249</v>
      </c>
      <c r="AW24" s="1758">
        <v>101851400</v>
      </c>
      <c r="AX24" s="1758" t="s">
        <v>775</v>
      </c>
      <c r="AY24" s="1758" t="s">
        <v>775</v>
      </c>
      <c r="AZ24" s="1758">
        <v>45</v>
      </c>
      <c r="BA24" s="1758" t="s">
        <v>775</v>
      </c>
      <c r="BB24" s="1758" t="s">
        <v>775</v>
      </c>
      <c r="BC24" t="s">
        <v>775</v>
      </c>
      <c r="BD24" t="s">
        <v>775</v>
      </c>
    </row>
    <row r="25" spans="1:54" ht="12" customHeight="1">
      <c r="A25" t="str">
        <f>IF(ABS(_C007048-_C007006-_C007007)&lt;0.999,"Correct","Error")</f>
        <v>Correct</v>
      </c>
      <c r="B25" s="1510" t="s">
        <v>1132</v>
      </c>
      <c r="C25" t="s">
        <v>192</v>
      </c>
      <c r="D25" s="1501">
        <f>Schedule_G!B433</f>
        <v>333</v>
      </c>
      <c r="E25" s="1501" t="str">
        <f>Schedule_G!C433</f>
        <v>NET INCOME (LOSS)</v>
      </c>
      <c r="F25" s="1501"/>
      <c r="AB25">
        <v>24600</v>
      </c>
      <c r="AC25">
        <v>4114245</v>
      </c>
      <c r="AD25" t="s">
        <v>788</v>
      </c>
      <c r="AE25">
        <v>4114245</v>
      </c>
      <c r="AF25">
        <v>1424</v>
      </c>
      <c r="AG25" s="1860">
        <v>40269</v>
      </c>
      <c r="AH25" s="1860">
        <v>523456</v>
      </c>
      <c r="AI25" t="s">
        <v>775</v>
      </c>
      <c r="AJ25" t="s">
        <v>775</v>
      </c>
      <c r="AK25" t="s">
        <v>800</v>
      </c>
      <c r="AN25" t="str">
        <f t="shared" si="0"/>
        <v>41116621164467734</v>
      </c>
      <c r="AO25" t="str">
        <f t="shared" si="1"/>
        <v>4111662100387900</v>
      </c>
      <c r="AP25" s="1758" t="s">
        <v>873</v>
      </c>
      <c r="AQ25" s="1759">
        <v>4111662</v>
      </c>
      <c r="AR25" s="1758"/>
      <c r="AS25" s="1758">
        <v>6600</v>
      </c>
      <c r="AT25" s="1759">
        <v>6600</v>
      </c>
      <c r="AU25" s="1758">
        <v>1164467734</v>
      </c>
      <c r="AV25" s="1758">
        <v>1164467734</v>
      </c>
      <c r="AW25" s="1758">
        <v>100387900</v>
      </c>
      <c r="AX25" s="1758"/>
      <c r="AY25" s="1758"/>
      <c r="AZ25" s="1758"/>
      <c r="BA25" s="1758"/>
      <c r="BB25" s="1758" t="s">
        <v>775</v>
      </c>
    </row>
    <row r="26" spans="1:54" ht="12" customHeight="1">
      <c r="A26" t="str">
        <f>IF(AND(_C511101&gt;0,_C000676&gt;0),"Correct",IF(AND(_C511101=0,_C000676=0),"Correct","Error"))</f>
        <v>Correct</v>
      </c>
      <c r="B26" s="1510" t="s">
        <v>1135</v>
      </c>
      <c r="C26" t="s">
        <v>192</v>
      </c>
      <c r="D26" s="1501">
        <f>Schedule_G!B62</f>
        <v>45</v>
      </c>
      <c r="E26" s="1501">
        <f>Schedule_G!C62</f>
        <v>0</v>
      </c>
      <c r="F26" s="1501" t="str">
        <f>Schedule_G!D62</f>
        <v>DNS</v>
      </c>
      <c r="G26" s="1501">
        <f>Schedule_G!E62</f>
        <v>5111.01</v>
      </c>
      <c r="H26" s="1501"/>
      <c r="I26" s="1501"/>
      <c r="J26" s="1501"/>
      <c r="K26" s="1501"/>
      <c r="L26" s="1501"/>
      <c r="M26" s="1501"/>
      <c r="N26" s="1501"/>
      <c r="O26" s="1501"/>
      <c r="P26" s="1501"/>
      <c r="Q26" s="1501"/>
      <c r="R26" s="1501"/>
      <c r="S26" s="1501"/>
      <c r="T26" s="1501"/>
      <c r="U26" s="1501"/>
      <c r="V26" s="1501"/>
      <c r="W26" s="1501"/>
      <c r="AB26">
        <v>40920</v>
      </c>
      <c r="AC26">
        <v>4114252</v>
      </c>
      <c r="AD26" t="s">
        <v>788</v>
      </c>
      <c r="AE26">
        <v>4114252</v>
      </c>
      <c r="AF26">
        <v>1425</v>
      </c>
      <c r="AG26" s="1860">
        <v>39995</v>
      </c>
      <c r="AH26" s="1860">
        <v>523456</v>
      </c>
      <c r="AI26" t="s">
        <v>775</v>
      </c>
      <c r="AJ26" t="s">
        <v>775</v>
      </c>
      <c r="AK26" t="s">
        <v>801</v>
      </c>
      <c r="AN26" t="str">
        <f t="shared" si="0"/>
        <v>41116701801887641</v>
      </c>
      <c r="AO26" t="str">
        <f t="shared" si="1"/>
        <v>4111670101932800</v>
      </c>
      <c r="AP26" s="1758" t="s">
        <v>851</v>
      </c>
      <c r="AQ26" s="1759">
        <v>4111670</v>
      </c>
      <c r="AR26" s="1758"/>
      <c r="AS26" s="1758">
        <v>25040</v>
      </c>
      <c r="AT26" s="1759">
        <v>25040</v>
      </c>
      <c r="AU26" s="1758">
        <v>1801887641</v>
      </c>
      <c r="AV26" s="1758">
        <v>1801887641</v>
      </c>
      <c r="AW26" s="1758">
        <v>101932800</v>
      </c>
      <c r="AX26" s="1758"/>
      <c r="AY26" s="1758"/>
      <c r="AZ26" s="1758"/>
      <c r="BA26" s="1758"/>
      <c r="BB26" s="1758" t="s">
        <v>775</v>
      </c>
    </row>
    <row r="27" spans="1:54" ht="12" customHeight="1">
      <c r="A27" t="str">
        <f>IF(AND(_C511102&gt;0,_C000684&gt;0),"Correct",IF(AND(_C511102=0,_C000684=0),"Correct","Error"))</f>
        <v>Correct</v>
      </c>
      <c r="B27" s="1510" t="s">
        <v>1135</v>
      </c>
      <c r="C27" t="s">
        <v>192</v>
      </c>
      <c r="D27" s="1501">
        <f>Schedule_G!B63</f>
        <v>46</v>
      </c>
      <c r="E27" s="1501">
        <f>Schedule_G!C63</f>
        <v>0</v>
      </c>
      <c r="F27" s="1501" t="str">
        <f>Schedule_G!D63</f>
        <v>RN</v>
      </c>
      <c r="G27" s="1501">
        <f>Schedule_G!E63</f>
        <v>5111.02</v>
      </c>
      <c r="H27" s="1501"/>
      <c r="I27" s="1501"/>
      <c r="J27" s="1501"/>
      <c r="K27" s="1501"/>
      <c r="L27" s="1501"/>
      <c r="M27" s="1501"/>
      <c r="N27" s="1501"/>
      <c r="O27" s="1501"/>
      <c r="P27" s="1501"/>
      <c r="Q27" s="1501"/>
      <c r="R27" s="1501"/>
      <c r="S27" s="1501"/>
      <c r="T27" s="1501"/>
      <c r="U27" s="1501"/>
      <c r="V27" s="1501"/>
      <c r="W27" s="1501"/>
      <c r="AB27">
        <v>20600</v>
      </c>
      <c r="AC27">
        <v>4114310</v>
      </c>
      <c r="AD27" t="s">
        <v>788</v>
      </c>
      <c r="AE27">
        <v>4114310</v>
      </c>
      <c r="AF27">
        <v>1431</v>
      </c>
      <c r="AG27" s="1860">
        <v>40269</v>
      </c>
      <c r="AH27" s="1860">
        <v>523456</v>
      </c>
      <c r="AI27" t="s">
        <v>775</v>
      </c>
      <c r="AJ27" t="s">
        <v>775</v>
      </c>
      <c r="AK27" t="s">
        <v>802</v>
      </c>
      <c r="AN27" t="str">
        <f t="shared" si="0"/>
        <v>41117791598750895</v>
      </c>
      <c r="AO27" t="str">
        <f t="shared" si="1"/>
        <v>4111779101417400</v>
      </c>
      <c r="AP27" s="1758" t="s">
        <v>851</v>
      </c>
      <c r="AQ27" s="1759">
        <v>4111779</v>
      </c>
      <c r="AR27" s="1758"/>
      <c r="AS27" s="1758">
        <v>29080</v>
      </c>
      <c r="AT27" s="1759">
        <v>29080</v>
      </c>
      <c r="AU27" s="1758">
        <v>1598750895</v>
      </c>
      <c r="AV27" s="1758">
        <v>1598750895</v>
      </c>
      <c r="AW27" s="1758">
        <v>101417400</v>
      </c>
      <c r="AX27" s="1758"/>
      <c r="AY27" s="1758"/>
      <c r="AZ27" s="1758"/>
      <c r="BA27" s="1758"/>
      <c r="BB27" s="1758" t="s">
        <v>775</v>
      </c>
    </row>
    <row r="28" spans="1:54" ht="12" customHeight="1">
      <c r="A28" t="str">
        <f>IF(AND(_C511103&gt;0,_C000692&gt;0),"Correct",IF(AND(_C511103=0,_C000692=0),"Correct","Error"))</f>
        <v>Correct</v>
      </c>
      <c r="B28" s="1510" t="s">
        <v>1135</v>
      </c>
      <c r="C28" t="s">
        <v>192</v>
      </c>
      <c r="D28" s="1501">
        <f>Schedule_G!B64</f>
        <v>47</v>
      </c>
      <c r="E28" s="1501">
        <f>Schedule_G!C64</f>
        <v>0</v>
      </c>
      <c r="F28" s="1501" t="str">
        <f>Schedule_G!D64</f>
        <v>LPN</v>
      </c>
      <c r="G28" s="1501">
        <f>Schedule_G!E64</f>
        <v>5111.03</v>
      </c>
      <c r="H28" s="1501"/>
      <c r="I28" s="1501"/>
      <c r="J28" s="1501"/>
      <c r="K28" s="1501"/>
      <c r="L28" s="1501"/>
      <c r="M28" s="1501"/>
      <c r="N28" s="1501"/>
      <c r="O28" s="1501"/>
      <c r="P28" s="1501"/>
      <c r="Q28" s="1501"/>
      <c r="R28" s="1501"/>
      <c r="S28" s="1501"/>
      <c r="T28" s="1501"/>
      <c r="U28" s="1501"/>
      <c r="V28" s="1501"/>
      <c r="W28" s="1501"/>
      <c r="AB28">
        <v>40640</v>
      </c>
      <c r="AC28">
        <v>4114328</v>
      </c>
      <c r="AD28" t="s">
        <v>788</v>
      </c>
      <c r="AE28">
        <v>4114328</v>
      </c>
      <c r="AF28">
        <v>1432</v>
      </c>
      <c r="AG28" s="1860">
        <v>40269</v>
      </c>
      <c r="AH28" s="1860">
        <v>523456</v>
      </c>
      <c r="AI28" t="s">
        <v>775</v>
      </c>
      <c r="AJ28" t="s">
        <v>775</v>
      </c>
      <c r="AK28" t="s">
        <v>803</v>
      </c>
      <c r="AN28" t="str">
        <f t="shared" si="0"/>
        <v>41119691316991540</v>
      </c>
      <c r="AO28" t="str">
        <f t="shared" si="1"/>
        <v>4111969104371300</v>
      </c>
      <c r="AP28" s="1758" t="s">
        <v>851</v>
      </c>
      <c r="AQ28" s="1759">
        <v>4111969</v>
      </c>
      <c r="AR28" s="1758"/>
      <c r="AS28" s="1758">
        <v>5900</v>
      </c>
      <c r="AT28" s="1759">
        <v>5900</v>
      </c>
      <c r="AU28" s="1758">
        <v>1316991540</v>
      </c>
      <c r="AV28" s="1758">
        <v>1316991540</v>
      </c>
      <c r="AW28" s="1758">
        <v>104371300</v>
      </c>
      <c r="AX28" s="1758"/>
      <c r="AY28" s="1758"/>
      <c r="AZ28" s="1758"/>
      <c r="BA28" s="1758"/>
      <c r="BB28" s="1758" t="s">
        <v>775</v>
      </c>
    </row>
    <row r="29" spans="1:54" ht="12" customHeight="1">
      <c r="A29" t="str">
        <f>IF(AND(_C511104&gt;0,_C000700&gt;0),"Correct",IF(AND(_C511104=0,_C000700=0),"Correct","Error"))</f>
        <v>Correct</v>
      </c>
      <c r="B29" s="1510" t="s">
        <v>1135</v>
      </c>
      <c r="C29" t="s">
        <v>192</v>
      </c>
      <c r="D29" s="1501">
        <f>Schedule_G!B65</f>
        <v>48</v>
      </c>
      <c r="E29" s="1501">
        <f>Schedule_G!C65</f>
        <v>0</v>
      </c>
      <c r="F29" s="1501" t="str">
        <f>Schedule_G!D65</f>
        <v>Certified Nursing Assistants</v>
      </c>
      <c r="G29" s="1501">
        <f>Schedule_G!E65</f>
        <v>5111.04</v>
      </c>
      <c r="H29" s="1501"/>
      <c r="I29" s="1501"/>
      <c r="J29" s="1501"/>
      <c r="K29" s="1501"/>
      <c r="L29" s="1501"/>
      <c r="M29" s="1501"/>
      <c r="N29" s="1501"/>
      <c r="O29" s="1501"/>
      <c r="P29" s="1501"/>
      <c r="Q29" s="1501"/>
      <c r="R29" s="1501"/>
      <c r="S29" s="1501"/>
      <c r="T29" s="1501"/>
      <c r="U29" s="1501"/>
      <c r="V29" s="1501"/>
      <c r="W29" s="1501"/>
      <c r="AB29">
        <v>40710</v>
      </c>
      <c r="AC29">
        <v>4114336</v>
      </c>
      <c r="AD29" t="s">
        <v>788</v>
      </c>
      <c r="AE29">
        <v>4114336</v>
      </c>
      <c r="AF29">
        <v>1433</v>
      </c>
      <c r="AG29" s="1860">
        <v>40179</v>
      </c>
      <c r="AH29" s="1860">
        <v>523456</v>
      </c>
      <c r="AI29" t="s">
        <v>775</v>
      </c>
      <c r="AJ29" t="s">
        <v>775</v>
      </c>
      <c r="AK29" t="s">
        <v>804</v>
      </c>
      <c r="AN29" t="str">
        <f t="shared" si="0"/>
        <v>41121651710988753</v>
      </c>
      <c r="AO29" t="str">
        <f t="shared" si="1"/>
        <v>4112165101721600</v>
      </c>
      <c r="AP29" s="1758" t="s">
        <v>851</v>
      </c>
      <c r="AQ29" s="1759">
        <v>4112165</v>
      </c>
      <c r="AR29" s="1758"/>
      <c r="AS29" s="1758">
        <v>6100</v>
      </c>
      <c r="AT29" s="1759">
        <v>6100</v>
      </c>
      <c r="AU29" s="1758">
        <v>1710988753</v>
      </c>
      <c r="AV29" s="1758">
        <v>1710988753</v>
      </c>
      <c r="AW29" s="1758">
        <v>101721600</v>
      </c>
      <c r="AX29" s="1758"/>
      <c r="AY29" s="1758"/>
      <c r="AZ29" s="1758"/>
      <c r="BA29" s="1758"/>
      <c r="BB29" s="1758" t="s">
        <v>775</v>
      </c>
    </row>
    <row r="30" spans="1:54" ht="12" customHeight="1">
      <c r="A30" t="str">
        <f>IF(AND(_C511105&gt;0,_C903893&gt;0),"Correct",IF(AND(_C511105=0,_C903893=0),"Correct","Error"))</f>
        <v>Correct</v>
      </c>
      <c r="B30" s="1510" t="s">
        <v>1135</v>
      </c>
      <c r="C30" t="s">
        <v>192</v>
      </c>
      <c r="D30" s="1501">
        <f>Schedule_G!B66</f>
        <v>49</v>
      </c>
      <c r="E30" s="1501">
        <f>Schedule_G!C66</f>
        <v>0</v>
      </c>
      <c r="F30" s="1501" t="str">
        <f>Schedule_G!D66</f>
        <v>Other Nursing With Admin. Duties
(attached schedule)</v>
      </c>
      <c r="G30" s="1501">
        <f>Schedule_G!E66</f>
        <v>5111.05</v>
      </c>
      <c r="H30" s="1501"/>
      <c r="I30" s="1501"/>
      <c r="J30" s="1501"/>
      <c r="K30" s="1501"/>
      <c r="L30" s="1501"/>
      <c r="M30" s="1501"/>
      <c r="N30" s="1501"/>
      <c r="O30" s="1501"/>
      <c r="P30" s="1501"/>
      <c r="Q30" s="1501"/>
      <c r="R30" s="1501"/>
      <c r="S30" s="1501"/>
      <c r="T30" s="1501"/>
      <c r="U30" s="1501"/>
      <c r="V30" s="1501"/>
      <c r="W30" s="1501"/>
      <c r="AB30">
        <v>13100</v>
      </c>
      <c r="AC30">
        <v>4114377</v>
      </c>
      <c r="AD30" t="s">
        <v>788</v>
      </c>
      <c r="AE30">
        <v>4114377</v>
      </c>
      <c r="AF30">
        <v>1437</v>
      </c>
      <c r="AG30" s="1860">
        <v>40909</v>
      </c>
      <c r="AH30" s="1860">
        <v>523456</v>
      </c>
      <c r="AI30" t="s">
        <v>775</v>
      </c>
      <c r="AJ30" t="s">
        <v>775</v>
      </c>
      <c r="AK30" t="s">
        <v>805</v>
      </c>
      <c r="AN30" t="str">
        <f t="shared" si="0"/>
        <v>41122151366441834</v>
      </c>
      <c r="AO30" t="str">
        <f t="shared" si="1"/>
        <v>4112215100864200</v>
      </c>
      <c r="AP30" s="1758" t="s">
        <v>788</v>
      </c>
      <c r="AQ30" s="1759">
        <v>4112215</v>
      </c>
      <c r="AR30" s="1758"/>
      <c r="AS30" s="1758">
        <v>40540</v>
      </c>
      <c r="AT30" s="1759">
        <v>40540</v>
      </c>
      <c r="AU30" s="1758">
        <v>1366441834</v>
      </c>
      <c r="AV30" s="1758">
        <v>1366441834</v>
      </c>
      <c r="AW30" s="1758">
        <v>100864200</v>
      </c>
      <c r="AX30" s="1758"/>
      <c r="AY30" s="1758"/>
      <c r="AZ30" s="1758">
        <v>45</v>
      </c>
      <c r="BA30" s="1758"/>
      <c r="BB30" s="1758" t="s">
        <v>775</v>
      </c>
    </row>
    <row r="31" spans="1:54" ht="12" customHeight="1">
      <c r="A31" t="str">
        <f>IF(AND(_C903897&gt;0,_C903898&gt;0),"Correct",IF(AND(_C903897=0,_C903898=0),"Correct","Error"))</f>
        <v>Correct</v>
      </c>
      <c r="B31" s="1510" t="s">
        <v>1135</v>
      </c>
      <c r="C31" t="s">
        <v>192</v>
      </c>
      <c r="D31" s="1501">
        <f>Schedule_G!B67</f>
        <v>50</v>
      </c>
      <c r="E31" s="1501" t="str">
        <f>Schedule_G!C67</f>
        <v>SUBTOTAL IN-HOUSE NURSING SERVICES AND HOURS</v>
      </c>
      <c r="F31" s="1501">
        <f>Schedule_G!D67</f>
        <v>0</v>
      </c>
      <c r="G31" s="1501">
        <f>Schedule_G!E67</f>
        <v>0</v>
      </c>
      <c r="H31" s="1501"/>
      <c r="I31" s="1501"/>
      <c r="J31" s="1501"/>
      <c r="K31" s="1501"/>
      <c r="L31" s="1501"/>
      <c r="M31" s="1501"/>
      <c r="N31" s="1501"/>
      <c r="O31" s="1501"/>
      <c r="P31" s="1501"/>
      <c r="Q31" s="1501"/>
      <c r="R31" s="1501"/>
      <c r="S31" s="1501"/>
      <c r="T31" s="1501"/>
      <c r="U31" s="1501"/>
      <c r="V31" s="1501"/>
      <c r="W31" s="1501"/>
      <c r="AB31">
        <v>41030</v>
      </c>
      <c r="AC31">
        <v>4114796</v>
      </c>
      <c r="AD31" t="s">
        <v>788</v>
      </c>
      <c r="AE31">
        <v>4114796</v>
      </c>
      <c r="AF31">
        <v>1479</v>
      </c>
      <c r="AG31" s="1860">
        <v>41944</v>
      </c>
      <c r="AH31" s="1860">
        <v>523456</v>
      </c>
      <c r="AI31" t="s">
        <v>775</v>
      </c>
      <c r="AJ31" t="s">
        <v>775</v>
      </c>
      <c r="AK31" t="s">
        <v>806</v>
      </c>
      <c r="AN31" t="str">
        <f t="shared" si="0"/>
        <v>41122311063461325</v>
      </c>
      <c r="AO31" t="str">
        <f t="shared" si="1"/>
        <v>4112231100151500</v>
      </c>
      <c r="AP31" s="1758" t="s">
        <v>904</v>
      </c>
      <c r="AQ31" s="1759">
        <v>4112231</v>
      </c>
      <c r="AR31" s="1758"/>
      <c r="AS31" s="1758">
        <v>14100</v>
      </c>
      <c r="AT31" s="1759">
        <v>14100</v>
      </c>
      <c r="AU31" s="1758">
        <v>1063461325</v>
      </c>
      <c r="AV31" s="1758">
        <v>1063461325</v>
      </c>
      <c r="AW31" s="1758">
        <v>100151500</v>
      </c>
      <c r="AX31" s="1758"/>
      <c r="AY31" s="1758"/>
      <c r="AZ31" s="1758"/>
      <c r="BA31" s="1758">
        <v>50</v>
      </c>
      <c r="BB31" s="1758" t="s">
        <v>775</v>
      </c>
    </row>
    <row r="32" spans="1:54" ht="12" customHeight="1">
      <c r="A32" t="str">
        <f>IF(AND(_C511109&gt;0,_C000740&gt;0),"Correct",IF(AND(_C511109=0,_C000740=0),"Correct","Error"))</f>
        <v>Correct</v>
      </c>
      <c r="B32" s="1510" t="s">
        <v>1135</v>
      </c>
      <c r="C32" t="s">
        <v>192</v>
      </c>
      <c r="D32" s="1501">
        <f>Schedule_G!B69</f>
        <v>52</v>
      </c>
      <c r="E32" s="1501">
        <f>Schedule_G!C69</f>
        <v>0</v>
      </c>
      <c r="F32" s="1501" t="str">
        <f>Schedule_G!D69</f>
        <v>Activities Director &amp; Assistants</v>
      </c>
      <c r="G32" s="1501">
        <f>Schedule_G!E69</f>
        <v>5111.09</v>
      </c>
      <c r="H32" s="1501"/>
      <c r="I32" s="1501"/>
      <c r="J32" s="1501"/>
      <c r="K32" s="1501"/>
      <c r="L32" s="1501"/>
      <c r="M32" s="1501"/>
      <c r="N32" s="1501"/>
      <c r="O32" s="1501"/>
      <c r="P32" s="1501"/>
      <c r="Q32" s="1501"/>
      <c r="R32" s="1501"/>
      <c r="S32" s="1501"/>
      <c r="T32" s="1501"/>
      <c r="U32" s="1501"/>
      <c r="V32" s="1501"/>
      <c r="W32" s="1501"/>
      <c r="AB32">
        <v>40950</v>
      </c>
      <c r="AC32">
        <v>4115011</v>
      </c>
      <c r="AD32" t="s">
        <v>788</v>
      </c>
      <c r="AE32">
        <v>4115011</v>
      </c>
      <c r="AF32">
        <v>1501</v>
      </c>
      <c r="AG32" s="1860">
        <v>41944</v>
      </c>
      <c r="AH32" s="1860">
        <v>523456</v>
      </c>
      <c r="AI32" t="s">
        <v>775</v>
      </c>
      <c r="AJ32" t="s">
        <v>775</v>
      </c>
      <c r="AK32" t="s">
        <v>807</v>
      </c>
      <c r="AN32" t="str">
        <f t="shared" si="0"/>
        <v>41122561104811207</v>
      </c>
      <c r="AO32" t="str">
        <f t="shared" si="1"/>
        <v>4112256100242200</v>
      </c>
      <c r="AP32" s="1758" t="s">
        <v>904</v>
      </c>
      <c r="AQ32" s="1759">
        <v>4112256</v>
      </c>
      <c r="AR32" s="1758"/>
      <c r="AS32" s="1758">
        <v>21500</v>
      </c>
      <c r="AT32" s="1759">
        <v>21500</v>
      </c>
      <c r="AU32" s="1758">
        <v>1104811207</v>
      </c>
      <c r="AV32" s="1758">
        <v>1104811207</v>
      </c>
      <c r="AW32" s="1758">
        <v>100242200</v>
      </c>
      <c r="AX32" s="1758"/>
      <c r="AY32" s="1758"/>
      <c r="AZ32" s="1758"/>
      <c r="BA32" s="1758"/>
      <c r="BB32" s="1758" t="s">
        <v>775</v>
      </c>
    </row>
    <row r="33" spans="1:56" ht="12" customHeight="1">
      <c r="A33" t="str">
        <f>IF(AND(_C511111&gt;0,_C000756&gt;0),"Correct",IF(AND(_C511111=0,_C000756=0),"Correct","Error"))</f>
        <v>Correct</v>
      </c>
      <c r="B33" s="1510" t="s">
        <v>1135</v>
      </c>
      <c r="C33" t="s">
        <v>192</v>
      </c>
      <c r="D33" s="1501">
        <f>Schedule_G!B70</f>
        <v>53</v>
      </c>
      <c r="E33" s="1501">
        <f>Schedule_G!C70</f>
        <v>0</v>
      </c>
      <c r="F33" s="1501" t="str">
        <f>Schedule_G!D70</f>
        <v>Medical Director</v>
      </c>
      <c r="G33" s="1501">
        <f>Schedule_G!E70</f>
        <v>5111.11</v>
      </c>
      <c r="H33" s="1501"/>
      <c r="I33" s="1501"/>
      <c r="J33" s="1501"/>
      <c r="K33" s="1501"/>
      <c r="L33" s="1501"/>
      <c r="M33" s="1501"/>
      <c r="N33" s="1501"/>
      <c r="O33" s="1501"/>
      <c r="P33" s="1501"/>
      <c r="Q33" s="1501"/>
      <c r="R33" s="1501"/>
      <c r="S33" s="1501"/>
      <c r="T33" s="1501"/>
      <c r="U33" s="1501"/>
      <c r="V33" s="1501"/>
      <c r="W33" s="1501"/>
      <c r="AB33">
        <v>35330</v>
      </c>
      <c r="AC33">
        <v>4115241</v>
      </c>
      <c r="AD33" t="s">
        <v>788</v>
      </c>
      <c r="AE33">
        <v>4115241</v>
      </c>
      <c r="AF33">
        <v>1524</v>
      </c>
      <c r="AG33" s="1860">
        <v>42202</v>
      </c>
      <c r="AH33" s="1860">
        <v>523456</v>
      </c>
      <c r="AI33" t="s">
        <v>775</v>
      </c>
      <c r="AJ33" t="s">
        <v>775</v>
      </c>
      <c r="AK33" t="s">
        <v>808</v>
      </c>
      <c r="AN33" t="str">
        <f t="shared" si="0"/>
        <v>41134451295721587</v>
      </c>
      <c r="AO33" t="str">
        <f t="shared" si="1"/>
        <v>4113445100695100</v>
      </c>
      <c r="AP33" s="1758" t="s">
        <v>774</v>
      </c>
      <c r="AQ33" s="1759">
        <v>4113445</v>
      </c>
      <c r="AR33" s="1758" t="s">
        <v>775</v>
      </c>
      <c r="AS33" s="1758">
        <v>8200</v>
      </c>
      <c r="AT33" s="1759">
        <v>8200</v>
      </c>
      <c r="AU33" s="1758">
        <v>1295721587</v>
      </c>
      <c r="AV33" s="1758">
        <v>1295721587</v>
      </c>
      <c r="AW33" s="1758">
        <v>100695100</v>
      </c>
      <c r="AX33" s="1758" t="s">
        <v>775</v>
      </c>
      <c r="AY33" s="1758" t="s">
        <v>775</v>
      </c>
      <c r="AZ33" s="1758" t="s">
        <v>775</v>
      </c>
      <c r="BA33" s="1758" t="s">
        <v>775</v>
      </c>
      <c r="BB33" s="1758" t="s">
        <v>775</v>
      </c>
      <c r="BC33" t="s">
        <v>775</v>
      </c>
      <c r="BD33" t="s">
        <v>775</v>
      </c>
    </row>
    <row r="34" spans="1:54" ht="12" customHeight="1">
      <c r="A34" t="str">
        <f>IF(AND(_C511112&gt;0,_C000764&gt;0),"Correct",IF(AND(_C511112=0,_C000764=0),"Correct","Error"))</f>
        <v>Correct</v>
      </c>
      <c r="B34" s="1510" t="s">
        <v>1135</v>
      </c>
      <c r="C34" t="s">
        <v>192</v>
      </c>
      <c r="D34" s="1501">
        <f>Schedule_G!B71</f>
        <v>54</v>
      </c>
      <c r="E34" s="1501">
        <f>Schedule_G!C71</f>
        <v>0</v>
      </c>
      <c r="F34" s="1501" t="str">
        <f>Schedule_G!D71</f>
        <v>Pharmaceutical</v>
      </c>
      <c r="G34" s="1501">
        <f>Schedule_G!E71</f>
        <v>5111.12</v>
      </c>
      <c r="H34" s="1501"/>
      <c r="I34" s="1501"/>
      <c r="J34" s="1501"/>
      <c r="K34" s="1501"/>
      <c r="L34" s="1501"/>
      <c r="M34" s="1501"/>
      <c r="N34" s="1501"/>
      <c r="O34" s="1501"/>
      <c r="P34" s="1501"/>
      <c r="Q34" s="1501"/>
      <c r="R34" s="1501"/>
      <c r="S34" s="1501"/>
      <c r="T34" s="1501"/>
      <c r="U34" s="1501"/>
      <c r="V34" s="1501"/>
      <c r="W34" s="1501"/>
      <c r="AB34">
        <v>13300</v>
      </c>
      <c r="AC34">
        <v>4115261</v>
      </c>
      <c r="AD34" t="s">
        <v>788</v>
      </c>
      <c r="AE34">
        <v>4115261</v>
      </c>
      <c r="AF34">
        <v>1526</v>
      </c>
      <c r="AG34" s="1860">
        <v>42278</v>
      </c>
      <c r="AH34" s="1860">
        <v>523456</v>
      </c>
      <c r="AI34" t="s">
        <v>775</v>
      </c>
      <c r="AJ34" t="s">
        <v>775</v>
      </c>
      <c r="AK34" t="s">
        <v>809</v>
      </c>
      <c r="AN34" t="str">
        <f t="shared" si="0"/>
        <v>41122801851386957</v>
      </c>
      <c r="AO34" t="str">
        <f t="shared" si="1"/>
        <v>4112280102060300</v>
      </c>
      <c r="AP34" s="1758" t="s">
        <v>904</v>
      </c>
      <c r="AQ34" s="1759">
        <v>4112280</v>
      </c>
      <c r="AR34" s="1758" t="s">
        <v>987</v>
      </c>
      <c r="AS34" s="1758">
        <v>35900</v>
      </c>
      <c r="AT34" s="1759">
        <v>35900</v>
      </c>
      <c r="AU34" s="1758">
        <v>1851386957</v>
      </c>
      <c r="AV34" s="1758">
        <v>1851386957</v>
      </c>
      <c r="AW34" s="1758">
        <v>102060300</v>
      </c>
      <c r="AX34" s="1758"/>
      <c r="AY34" s="1758"/>
      <c r="AZ34" s="1758">
        <v>45</v>
      </c>
      <c r="BA34" s="1758"/>
      <c r="BB34" s="1758" t="s">
        <v>775</v>
      </c>
    </row>
    <row r="35" spans="1:54" ht="12" customHeight="1">
      <c r="A35" t="str">
        <f>IF(AND(_C511113&gt;0,_C000772&gt;0),"Correct",IF(AND(_C511113=0,_C000772=0),"Correct","Error"))</f>
        <v>Correct</v>
      </c>
      <c r="B35" s="1510" t="s">
        <v>1135</v>
      </c>
      <c r="C35" t="s">
        <v>192</v>
      </c>
      <c r="D35" s="1501">
        <f>Schedule_G!B72</f>
        <v>55</v>
      </c>
      <c r="E35" s="1501">
        <f>Schedule_G!C72</f>
        <v>0</v>
      </c>
      <c r="F35" s="1501" t="str">
        <f>Schedule_G!D72</f>
        <v>Social Worker</v>
      </c>
      <c r="G35" s="1501">
        <f>Schedule_G!E72</f>
        <v>5111.13</v>
      </c>
      <c r="H35" s="1501"/>
      <c r="I35" s="1501"/>
      <c r="J35" s="1501"/>
      <c r="K35" s="1501"/>
      <c r="L35" s="1501"/>
      <c r="M35" s="1501"/>
      <c r="N35" s="1501"/>
      <c r="O35" s="1501"/>
      <c r="P35" s="1501"/>
      <c r="Q35" s="1501"/>
      <c r="R35" s="1501"/>
      <c r="S35" s="1501"/>
      <c r="T35" s="1501"/>
      <c r="U35" s="1501"/>
      <c r="V35" s="1501"/>
      <c r="W35" s="1501"/>
      <c r="AB35">
        <v>16800</v>
      </c>
      <c r="AC35">
        <v>4115361</v>
      </c>
      <c r="AD35" t="s">
        <v>788</v>
      </c>
      <c r="AE35">
        <v>4115361</v>
      </c>
      <c r="AF35">
        <v>1536</v>
      </c>
      <c r="AG35" s="1860">
        <v>42522</v>
      </c>
      <c r="AH35" s="1860">
        <v>523456</v>
      </c>
      <c r="AI35" t="s">
        <v>775</v>
      </c>
      <c r="AJ35" t="s">
        <v>775</v>
      </c>
      <c r="AK35" t="s">
        <v>810</v>
      </c>
      <c r="AN35" t="str">
        <f t="shared" si="0"/>
        <v>41123141023190824</v>
      </c>
      <c r="AO35" t="str">
        <f t="shared" si="1"/>
        <v>4112314100070700</v>
      </c>
      <c r="AP35" s="1758" t="s">
        <v>873</v>
      </c>
      <c r="AQ35" s="1759">
        <v>4112314</v>
      </c>
      <c r="AR35" s="1758"/>
      <c r="AS35" s="1758">
        <v>40600</v>
      </c>
      <c r="AT35" s="1759">
        <v>40600</v>
      </c>
      <c r="AU35" s="1758">
        <v>1023190824</v>
      </c>
      <c r="AV35" s="1758">
        <v>1023190824</v>
      </c>
      <c r="AW35" s="1758">
        <v>100070700</v>
      </c>
      <c r="AX35" s="1758"/>
      <c r="AY35" s="1758"/>
      <c r="AZ35" s="1758"/>
      <c r="BA35" s="1758"/>
      <c r="BB35" s="1758" t="s">
        <v>775</v>
      </c>
    </row>
    <row r="36" spans="1:54" ht="12" customHeight="1">
      <c r="A36" t="str">
        <f>IF(AND(_C511114&gt;0,_C000780&gt;0),"Correct",IF(AND(_C511114=0,_C000780=0),"Correct","Error"))</f>
        <v>Correct</v>
      </c>
      <c r="B36" s="1510" t="s">
        <v>1135</v>
      </c>
      <c r="C36" t="s">
        <v>192</v>
      </c>
      <c r="D36" s="1501">
        <f>Schedule_G!B73</f>
        <v>56</v>
      </c>
      <c r="E36" s="1501">
        <f>Schedule_G!C73</f>
        <v>0</v>
      </c>
      <c r="F36" s="1501" t="str">
        <f>Schedule_G!D73</f>
        <v>Medical Records</v>
      </c>
      <c r="G36" s="1501">
        <f>Schedule_G!E73</f>
        <v>5111.14</v>
      </c>
      <c r="H36" s="1501"/>
      <c r="I36" s="1501"/>
      <c r="J36" s="1501"/>
      <c r="K36" s="1501"/>
      <c r="L36" s="1501"/>
      <c r="M36" s="1501"/>
      <c r="N36" s="1501"/>
      <c r="O36" s="1501"/>
      <c r="P36" s="1501"/>
      <c r="Q36" s="1501"/>
      <c r="R36" s="1501"/>
      <c r="S36" s="1501"/>
      <c r="T36" s="1501"/>
      <c r="U36" s="1501"/>
      <c r="V36" s="1501"/>
      <c r="W36" s="1501"/>
      <c r="AB36">
        <v>40660</v>
      </c>
      <c r="AC36">
        <v>4115371</v>
      </c>
      <c r="AD36" t="s">
        <v>788</v>
      </c>
      <c r="AE36">
        <v>4115371</v>
      </c>
      <c r="AF36">
        <v>1537</v>
      </c>
      <c r="AG36" s="1860">
        <v>42522</v>
      </c>
      <c r="AH36" s="1860">
        <v>523456</v>
      </c>
      <c r="AI36" t="s">
        <v>775</v>
      </c>
      <c r="AJ36" t="s">
        <v>775</v>
      </c>
      <c r="AK36" t="s">
        <v>811</v>
      </c>
      <c r="AN36" t="str">
        <f t="shared" si="0"/>
        <v>41124051265427397</v>
      </c>
      <c r="AO36" t="str">
        <f t="shared" si="1"/>
        <v>4112405100624800</v>
      </c>
      <c r="AP36" s="1758" t="s">
        <v>904</v>
      </c>
      <c r="AQ36" s="1759">
        <v>4112405</v>
      </c>
      <c r="AR36" s="1758"/>
      <c r="AS36" s="1758">
        <v>6400</v>
      </c>
      <c r="AT36" s="1759">
        <v>6400</v>
      </c>
      <c r="AU36" s="1758">
        <v>1265427397</v>
      </c>
      <c r="AV36" s="1758">
        <v>1265427397</v>
      </c>
      <c r="AW36" s="1758">
        <v>100624800</v>
      </c>
      <c r="AX36" s="1758"/>
      <c r="AY36" s="1758"/>
      <c r="AZ36" s="1758"/>
      <c r="BA36" s="1758"/>
      <c r="BB36" s="1758" t="s">
        <v>775</v>
      </c>
    </row>
    <row r="37" spans="1:54" ht="12" customHeight="1">
      <c r="A37" t="str">
        <f>IF(AND(_C511125&gt;0,_C903666&gt;0),"Correct",IF(AND(_C511125=0,_C903666=0),"Correct","Error"))</f>
        <v>Correct</v>
      </c>
      <c r="B37" s="1510" t="s">
        <v>1135</v>
      </c>
      <c r="C37" t="s">
        <v>192</v>
      </c>
      <c r="D37" s="1501">
        <f>Schedule_G!B74</f>
        <v>57</v>
      </c>
      <c r="E37" s="1501">
        <f>Schedule_G!C74</f>
        <v>0</v>
      </c>
      <c r="F37" s="1501" t="str">
        <f>Schedule_G!D74</f>
        <v>Physician</v>
      </c>
      <c r="G37" s="1501">
        <f>Schedule_G!E74</f>
        <v>5111.25</v>
      </c>
      <c r="H37" s="1501"/>
      <c r="I37" s="1501"/>
      <c r="J37" s="1501"/>
      <c r="K37" s="1501"/>
      <c r="L37" s="1501"/>
      <c r="M37" s="1501"/>
      <c r="N37" s="1501"/>
      <c r="O37" s="1501"/>
      <c r="P37" s="1501"/>
      <c r="Q37" s="1501"/>
      <c r="R37" s="1501"/>
      <c r="S37" s="1501"/>
      <c r="T37" s="1501"/>
      <c r="U37" s="1501"/>
      <c r="V37" s="1501"/>
      <c r="W37" s="1501"/>
      <c r="AB37">
        <v>15700</v>
      </c>
      <c r="AC37">
        <v>4115391</v>
      </c>
      <c r="AD37" t="s">
        <v>788</v>
      </c>
      <c r="AE37">
        <v>4115391</v>
      </c>
      <c r="AF37">
        <v>1539</v>
      </c>
      <c r="AG37" s="1860">
        <v>42583</v>
      </c>
      <c r="AH37" s="1860">
        <v>523456</v>
      </c>
      <c r="AI37" t="s">
        <v>775</v>
      </c>
      <c r="AJ37" t="s">
        <v>775</v>
      </c>
      <c r="AK37" t="s">
        <v>812</v>
      </c>
      <c r="AN37" t="str">
        <f t="shared" si="0"/>
        <v>41124541477641249</v>
      </c>
      <c r="AO37" t="str">
        <f t="shared" si="1"/>
        <v>4112454101139600</v>
      </c>
      <c r="AP37" s="1758" t="s">
        <v>774</v>
      </c>
      <c r="AQ37" s="1759">
        <v>4112454</v>
      </c>
      <c r="AR37" s="1758"/>
      <c r="AS37" s="1758">
        <v>40620</v>
      </c>
      <c r="AT37" s="1759">
        <v>40620</v>
      </c>
      <c r="AU37" s="1758">
        <v>1477641249</v>
      </c>
      <c r="AV37" s="1758">
        <v>1477641249</v>
      </c>
      <c r="AW37" s="1758">
        <v>101139600</v>
      </c>
      <c r="AX37" s="1758"/>
      <c r="AY37" s="1758"/>
      <c r="AZ37" s="1758"/>
      <c r="BA37" s="1758"/>
      <c r="BB37" s="1758" t="s">
        <v>775</v>
      </c>
    </row>
    <row r="38" spans="1:54" ht="12" customHeight="1">
      <c r="A38" t="str">
        <f>IF(AND(_C511119&gt;0,_C001565&gt;0),"Correct",IF(AND(_C511119=0,_C001565=0),"Correct","Error"))</f>
        <v>Correct</v>
      </c>
      <c r="B38" s="1510" t="s">
        <v>1135</v>
      </c>
      <c r="C38" t="s">
        <v>192</v>
      </c>
      <c r="D38" s="1501">
        <f>Schedule_G!B75</f>
        <v>58</v>
      </c>
      <c r="E38" s="1501">
        <f>Schedule_G!C75</f>
        <v>0</v>
      </c>
      <c r="F38" s="1501" t="str">
        <f>Schedule_G!D75</f>
        <v>Other    (Attach Schedule)</v>
      </c>
      <c r="G38" s="1501">
        <f>Schedule_G!E75</f>
        <v>5111.19</v>
      </c>
      <c r="H38" s="1501"/>
      <c r="I38" s="1501"/>
      <c r="J38" s="1501"/>
      <c r="K38" s="1501"/>
      <c r="L38" s="1501"/>
      <c r="M38" s="1501"/>
      <c r="N38" s="1501"/>
      <c r="O38" s="1501"/>
      <c r="P38" s="1501"/>
      <c r="Q38" s="1501"/>
      <c r="R38" s="1501"/>
      <c r="S38" s="1501"/>
      <c r="T38" s="1501"/>
      <c r="U38" s="1501"/>
      <c r="V38" s="1501"/>
      <c r="W38" s="1501"/>
      <c r="AB38">
        <v>2400</v>
      </c>
      <c r="AC38">
        <v>4115501</v>
      </c>
      <c r="AD38" t="s">
        <v>788</v>
      </c>
      <c r="AE38">
        <v>4115501</v>
      </c>
      <c r="AF38">
        <v>1550</v>
      </c>
      <c r="AG38" s="1860">
        <v>42948</v>
      </c>
      <c r="AH38" s="1860">
        <v>523456</v>
      </c>
      <c r="AI38" t="s">
        <v>775</v>
      </c>
      <c r="AJ38" t="s">
        <v>775</v>
      </c>
      <c r="AK38" t="s">
        <v>813</v>
      </c>
      <c r="AN38" t="str">
        <f t="shared" si="0"/>
        <v>41126601457346785</v>
      </c>
      <c r="AO38" t="str">
        <f t="shared" si="1"/>
        <v>4112660101081100</v>
      </c>
      <c r="AP38" s="1758" t="s">
        <v>904</v>
      </c>
      <c r="AQ38" s="1759">
        <v>4112660</v>
      </c>
      <c r="AR38" s="1758"/>
      <c r="AS38" s="1758">
        <v>11700</v>
      </c>
      <c r="AT38" s="1759">
        <v>11700</v>
      </c>
      <c r="AU38" s="1758">
        <v>1457346785</v>
      </c>
      <c r="AV38" s="1758">
        <v>1457346785</v>
      </c>
      <c r="AW38" s="1758">
        <v>101081100</v>
      </c>
      <c r="AX38" s="1758"/>
      <c r="AY38" s="1758"/>
      <c r="AZ38" s="1758"/>
      <c r="BA38" s="1758"/>
      <c r="BB38" s="1758" t="s">
        <v>775</v>
      </c>
    </row>
    <row r="39" spans="1:54" ht="12" customHeight="1">
      <c r="A39" t="str">
        <f>IF(AND(_C007026&gt;0,_C000812&gt;0),"Correct",IF(AND(_C007026=0,_C000812=0),"Correct","Error"))</f>
        <v>Correct</v>
      </c>
      <c r="B39" s="1510" t="s">
        <v>1135</v>
      </c>
      <c r="C39" t="s">
        <v>192</v>
      </c>
      <c r="D39" s="1501">
        <f>Schedule_G!B76</f>
        <v>59</v>
      </c>
      <c r="E39" s="1501" t="str">
        <f>Schedule_G!C76</f>
        <v>TOTAL IN-HOUSE SALARIES &amp; HOURS</v>
      </c>
      <c r="F39" s="1501">
        <f>Schedule_G!D76</f>
        <v>0</v>
      </c>
      <c r="G39" s="1501">
        <f>Schedule_G!E76</f>
        <v>0</v>
      </c>
      <c r="H39" s="1501"/>
      <c r="I39" s="1501"/>
      <c r="J39" s="1501"/>
      <c r="K39" s="1501"/>
      <c r="L39" s="1501"/>
      <c r="M39" s="1501"/>
      <c r="N39" s="1501"/>
      <c r="O39" s="1501"/>
      <c r="P39" s="1501"/>
      <c r="Q39" s="1501"/>
      <c r="R39" s="1501"/>
      <c r="S39" s="1501"/>
      <c r="T39" s="1501"/>
      <c r="U39" s="1501"/>
      <c r="V39" s="1501"/>
      <c r="W39" s="1501"/>
      <c r="AB39">
        <v>5830</v>
      </c>
      <c r="AC39">
        <v>4115671</v>
      </c>
      <c r="AD39" t="s">
        <v>788</v>
      </c>
      <c r="AE39">
        <v>4115671</v>
      </c>
      <c r="AF39">
        <v>1567</v>
      </c>
      <c r="AG39" s="1860">
        <v>43089</v>
      </c>
      <c r="AH39" s="1860">
        <v>523456</v>
      </c>
      <c r="AI39" t="s">
        <v>775</v>
      </c>
      <c r="AJ39" t="s">
        <v>775</v>
      </c>
      <c r="AK39" t="s">
        <v>814</v>
      </c>
      <c r="AN39" t="str">
        <f t="shared" si="0"/>
        <v>41126941235187931</v>
      </c>
      <c r="AO39" t="str">
        <f t="shared" si="1"/>
        <v>4112694100558900</v>
      </c>
      <c r="AP39" s="1758" t="s">
        <v>904</v>
      </c>
      <c r="AQ39" s="1759">
        <v>4112694</v>
      </c>
      <c r="AR39" s="1758"/>
      <c r="AS39" s="1758">
        <v>4500</v>
      </c>
      <c r="AT39" s="1759">
        <v>4500</v>
      </c>
      <c r="AU39" s="1758">
        <v>1235187931</v>
      </c>
      <c r="AV39" s="1758">
        <v>1235187931</v>
      </c>
      <c r="AW39" s="1758">
        <v>100558900</v>
      </c>
      <c r="AX39" s="1758"/>
      <c r="AY39" s="1758"/>
      <c r="AZ39" s="1758"/>
      <c r="BA39" s="1758"/>
      <c r="BB39" s="1758" t="s">
        <v>775</v>
      </c>
    </row>
    <row r="40" spans="1:54" ht="12" customHeight="1">
      <c r="A40" t="str">
        <f>IF(AND(_C511401&gt;0,_C000678&gt;0),"Correct",IF(AND(_C511401=0,_C000678=0),"Correct","Error"))</f>
        <v>Correct</v>
      </c>
      <c r="B40" s="1510" t="s">
        <v>1135</v>
      </c>
      <c r="C40" t="s">
        <v>192</v>
      </c>
      <c r="D40" s="1501">
        <f>Schedule_G!B81</f>
        <v>64</v>
      </c>
      <c r="E40" s="1501">
        <f>Schedule_G!C81</f>
        <v>0</v>
      </c>
      <c r="F40" s="1501" t="str">
        <f>Schedule_G!D81</f>
        <v>DNS</v>
      </c>
      <c r="G40" s="1501">
        <f>Schedule_G!E81</f>
        <v>5114.01</v>
      </c>
      <c r="H40" s="1501"/>
      <c r="I40" s="1501"/>
      <c r="J40" s="1501"/>
      <c r="K40" s="1501"/>
      <c r="L40" s="1501"/>
      <c r="M40" s="1501"/>
      <c r="N40" s="1501"/>
      <c r="O40" s="1501"/>
      <c r="P40" s="1501"/>
      <c r="Q40" s="1501"/>
      <c r="R40" s="1501"/>
      <c r="S40" s="1501"/>
      <c r="T40" s="1501"/>
      <c r="U40" s="1501"/>
      <c r="V40" s="1501"/>
      <c r="W40" s="1501"/>
      <c r="AB40">
        <v>39980</v>
      </c>
      <c r="AC40">
        <v>4115681</v>
      </c>
      <c r="AD40" t="s">
        <v>788</v>
      </c>
      <c r="AE40">
        <v>4115681</v>
      </c>
      <c r="AF40">
        <v>1568</v>
      </c>
      <c r="AG40" s="1860">
        <v>43089</v>
      </c>
      <c r="AH40" s="1860">
        <v>523456</v>
      </c>
      <c r="AI40" t="s">
        <v>775</v>
      </c>
      <c r="AJ40" t="s">
        <v>775</v>
      </c>
      <c r="AK40" t="s">
        <v>815</v>
      </c>
      <c r="AN40" t="str">
        <f t="shared" si="0"/>
        <v>41128351306950472</v>
      </c>
      <c r="AO40" t="str">
        <f t="shared" si="1"/>
        <v>4112835100734900</v>
      </c>
      <c r="AP40" s="1758" t="s">
        <v>788</v>
      </c>
      <c r="AQ40" s="1759">
        <v>4112835</v>
      </c>
      <c r="AR40" s="1758"/>
      <c r="AS40" s="1758">
        <v>10030</v>
      </c>
      <c r="AT40" s="1759">
        <v>10030</v>
      </c>
      <c r="AU40" s="1758">
        <v>1306950472</v>
      </c>
      <c r="AV40" s="1758">
        <v>1306950472</v>
      </c>
      <c r="AW40" s="1758">
        <v>100734900</v>
      </c>
      <c r="AX40" s="1758"/>
      <c r="AY40" s="1758"/>
      <c r="AZ40" s="1758"/>
      <c r="BA40" s="1758"/>
      <c r="BB40" s="1758" t="s">
        <v>775</v>
      </c>
    </row>
    <row r="41" spans="1:56" ht="12" customHeight="1">
      <c r="A41" t="str">
        <f>IF(AND(_C511402&gt;0,_C000686&gt;0),"Correct",IF(AND(_C511402=0,_C000686=0),"Correct","Error"))</f>
        <v>Correct</v>
      </c>
      <c r="B41" s="1510" t="s">
        <v>1135</v>
      </c>
      <c r="C41" t="s">
        <v>192</v>
      </c>
      <c r="D41" s="1501">
        <f>Schedule_G!B82</f>
        <v>65</v>
      </c>
      <c r="E41" s="1501">
        <f>Schedule_G!C82</f>
        <v>0</v>
      </c>
      <c r="F41" s="1501" t="str">
        <f>Schedule_G!D82</f>
        <v>RN</v>
      </c>
      <c r="G41" s="1501">
        <f>Schedule_G!E82</f>
        <v>5114.02</v>
      </c>
      <c r="H41" s="1501"/>
      <c r="I41" s="1501"/>
      <c r="J41" s="1501"/>
      <c r="K41" s="1501"/>
      <c r="L41" s="1501"/>
      <c r="M41" s="1501"/>
      <c r="N41" s="1501"/>
      <c r="O41" s="1501"/>
      <c r="P41" s="1501"/>
      <c r="Q41" s="1501"/>
      <c r="R41" s="1501"/>
      <c r="S41" s="1501"/>
      <c r="T41" s="1501"/>
      <c r="U41" s="1501"/>
      <c r="V41" s="1501"/>
      <c r="W41" s="1501"/>
      <c r="AB41">
        <v>18100</v>
      </c>
      <c r="AC41">
        <v>4115691</v>
      </c>
      <c r="AD41" t="s">
        <v>788</v>
      </c>
      <c r="AE41">
        <v>4115691</v>
      </c>
      <c r="AF41">
        <v>1569</v>
      </c>
      <c r="AG41" s="1860">
        <v>43089</v>
      </c>
      <c r="AH41" s="1860">
        <v>523456</v>
      </c>
      <c r="AI41" t="s">
        <v>775</v>
      </c>
      <c r="AJ41" t="s">
        <v>775</v>
      </c>
      <c r="AK41" t="s">
        <v>816</v>
      </c>
      <c r="AN41" t="str">
        <f t="shared" si="0"/>
        <v>41130561184619249</v>
      </c>
      <c r="AO41" t="str">
        <f t="shared" si="1"/>
        <v>4113056100426400</v>
      </c>
      <c r="AP41" s="1758" t="s">
        <v>774</v>
      </c>
      <c r="AQ41" s="1759">
        <v>4113056</v>
      </c>
      <c r="AR41" s="1758" t="s">
        <v>775</v>
      </c>
      <c r="AS41" s="1758">
        <v>15500</v>
      </c>
      <c r="AT41" s="1759">
        <v>15500</v>
      </c>
      <c r="AU41" s="1758">
        <v>1184619249</v>
      </c>
      <c r="AV41" s="1758">
        <v>1184619249</v>
      </c>
      <c r="AW41" s="1758">
        <v>100426400</v>
      </c>
      <c r="AX41" s="1758" t="s">
        <v>775</v>
      </c>
      <c r="AY41" s="1758" t="s">
        <v>775</v>
      </c>
      <c r="AZ41" s="1758" t="s">
        <v>775</v>
      </c>
      <c r="BA41" s="1758" t="s">
        <v>775</v>
      </c>
      <c r="BB41" s="1758" t="s">
        <v>775</v>
      </c>
      <c r="BC41" t="s">
        <v>775</v>
      </c>
      <c r="BD41" t="s">
        <v>775</v>
      </c>
    </row>
    <row r="42" spans="1:56" ht="12" customHeight="1">
      <c r="A42" t="str">
        <f>IF(AND(_C511403&gt;0,_C000694&gt;0),"Correct",IF(AND(_C511403=0,_C000694=0),"Correct","Error"))</f>
        <v>Correct</v>
      </c>
      <c r="B42" s="1510" t="s">
        <v>1135</v>
      </c>
      <c r="C42" t="s">
        <v>192</v>
      </c>
      <c r="D42" s="1501">
        <f>Schedule_G!B83</f>
        <v>66</v>
      </c>
      <c r="E42" s="1501">
        <f>Schedule_G!C83</f>
        <v>0</v>
      </c>
      <c r="F42" s="1501" t="str">
        <f>Schedule_G!D83</f>
        <v>LPN</v>
      </c>
      <c r="G42" s="1501">
        <f>Schedule_G!E83</f>
        <v>5114.03</v>
      </c>
      <c r="H42" s="1501"/>
      <c r="I42" s="1501"/>
      <c r="J42" s="1501"/>
      <c r="K42" s="1501"/>
      <c r="L42" s="1501"/>
      <c r="M42" s="1501"/>
      <c r="N42" s="1501"/>
      <c r="O42" s="1501"/>
      <c r="P42" s="1501"/>
      <c r="Q42" s="1501"/>
      <c r="R42" s="1501"/>
      <c r="S42" s="1501"/>
      <c r="T42" s="1501"/>
      <c r="U42" s="1501"/>
      <c r="V42" s="1501"/>
      <c r="W42" s="1501"/>
      <c r="AB42">
        <v>17900</v>
      </c>
      <c r="AC42">
        <v>4157509</v>
      </c>
      <c r="AD42" t="s">
        <v>788</v>
      </c>
      <c r="AE42">
        <v>4157509</v>
      </c>
      <c r="AF42">
        <v>575</v>
      </c>
      <c r="AG42" s="1860">
        <v>28856</v>
      </c>
      <c r="AH42" s="1860">
        <v>523456</v>
      </c>
      <c r="AI42" t="s">
        <v>775</v>
      </c>
      <c r="AJ42" t="s">
        <v>775</v>
      </c>
      <c r="AK42" t="s">
        <v>817</v>
      </c>
      <c r="AN42" t="str">
        <f t="shared" si="0"/>
        <v>41134031326033986</v>
      </c>
      <c r="AO42" t="str">
        <f t="shared" si="1"/>
        <v>4113403100769600</v>
      </c>
      <c r="AP42" s="1758" t="s">
        <v>774</v>
      </c>
      <c r="AQ42" s="1759">
        <v>4113403</v>
      </c>
      <c r="AR42" s="1758" t="s">
        <v>775</v>
      </c>
      <c r="AS42" s="1758">
        <v>11300</v>
      </c>
      <c r="AT42" s="1759">
        <v>11300</v>
      </c>
      <c r="AU42" s="1758">
        <v>1326033986</v>
      </c>
      <c r="AV42" s="1758">
        <v>1326033986</v>
      </c>
      <c r="AW42" s="1758">
        <v>100769600</v>
      </c>
      <c r="AX42" s="1758" t="s">
        <v>775</v>
      </c>
      <c r="AY42" s="1758" t="s">
        <v>775</v>
      </c>
      <c r="AZ42" s="1758" t="s">
        <v>775</v>
      </c>
      <c r="BA42" s="1758" t="s">
        <v>775</v>
      </c>
      <c r="BB42" s="1758" t="s">
        <v>775</v>
      </c>
      <c r="BC42" t="s">
        <v>775</v>
      </c>
      <c r="BD42" t="s">
        <v>775</v>
      </c>
    </row>
    <row r="43" spans="1:56" ht="12" customHeight="1">
      <c r="A43" t="str">
        <f>IF(AND(_C511404&gt;0,_C000702&gt;0),"Correct",IF(AND(_C511404=0,_C000702=0),"Correct","Error"))</f>
        <v>Correct</v>
      </c>
      <c r="B43" s="1510" t="s">
        <v>1135</v>
      </c>
      <c r="C43" t="s">
        <v>192</v>
      </c>
      <c r="D43" s="1501">
        <f>Schedule_G!B84</f>
        <v>67</v>
      </c>
      <c r="E43" s="1501">
        <f>Schedule_G!C84</f>
        <v>0</v>
      </c>
      <c r="F43" s="1501" t="str">
        <f>Schedule_G!D84</f>
        <v>Certified Nursing Assistants</v>
      </c>
      <c r="G43" s="1501">
        <f>Schedule_G!E84</f>
        <v>5114.04</v>
      </c>
      <c r="H43" s="1501"/>
      <c r="I43" s="1501"/>
      <c r="J43" s="1501"/>
      <c r="K43" s="1501"/>
      <c r="L43" s="1501"/>
      <c r="M43" s="1501"/>
      <c r="N43" s="1501"/>
      <c r="O43" s="1501"/>
      <c r="P43" s="1501"/>
      <c r="Q43" s="1501"/>
      <c r="R43" s="1501"/>
      <c r="S43" s="1501"/>
      <c r="T43" s="1501"/>
      <c r="U43" s="1501"/>
      <c r="V43" s="1501"/>
      <c r="W43" s="1501"/>
      <c r="AB43">
        <v>18700</v>
      </c>
      <c r="AC43">
        <v>4158804</v>
      </c>
      <c r="AD43" t="s">
        <v>788</v>
      </c>
      <c r="AE43">
        <v>4158804</v>
      </c>
      <c r="AF43">
        <v>588</v>
      </c>
      <c r="AG43" s="1860">
        <v>28491</v>
      </c>
      <c r="AH43" s="1860">
        <v>523456</v>
      </c>
      <c r="AI43" t="s">
        <v>775</v>
      </c>
      <c r="AJ43" t="s">
        <v>775</v>
      </c>
      <c r="AK43" t="s">
        <v>818</v>
      </c>
      <c r="AN43" t="str">
        <f t="shared" si="0"/>
        <v>41141611720060908</v>
      </c>
      <c r="AO43" t="str">
        <f t="shared" si="1"/>
        <v>4114161109118200</v>
      </c>
      <c r="AP43" s="1758" t="s">
        <v>774</v>
      </c>
      <c r="AQ43" s="1759">
        <v>4114161</v>
      </c>
      <c r="AR43" s="1758" t="s">
        <v>775</v>
      </c>
      <c r="AS43" s="1758">
        <v>16800</v>
      </c>
      <c r="AT43" s="1759">
        <v>16800</v>
      </c>
      <c r="AU43" s="1758">
        <v>1720060908</v>
      </c>
      <c r="AV43" s="1758">
        <v>1720060908</v>
      </c>
      <c r="AW43" s="1758">
        <v>109118200</v>
      </c>
      <c r="AX43" s="1758" t="s">
        <v>775</v>
      </c>
      <c r="AY43" s="1758" t="s">
        <v>775</v>
      </c>
      <c r="AZ43" s="1758" t="s">
        <v>775</v>
      </c>
      <c r="BA43" s="1758" t="s">
        <v>775</v>
      </c>
      <c r="BB43" s="1758" t="s">
        <v>775</v>
      </c>
      <c r="BC43" t="s">
        <v>775</v>
      </c>
      <c r="BD43" t="s">
        <v>775</v>
      </c>
    </row>
    <row r="44" spans="1:56" ht="12" customHeight="1">
      <c r="A44" t="str">
        <f>IF(AND(_C511405&gt;0,_C903902&gt;0),"Correct",IF(AND(_C511405=0,_C903902=0),"Correct","False"))</f>
        <v>Correct</v>
      </c>
      <c r="B44" s="1510" t="s">
        <v>1135</v>
      </c>
      <c r="C44" t="s">
        <v>192</v>
      </c>
      <c r="D44" s="1501">
        <f>Schedule_G!B85</f>
        <v>68</v>
      </c>
      <c r="E44" s="1501">
        <f>Schedule_G!C85</f>
        <v>0</v>
      </c>
      <c r="F44" s="1501" t="str">
        <f>Schedule_G!D85</f>
        <v>Other Nursing With Admin. Duties
(attached schedule)</v>
      </c>
      <c r="G44" s="1501">
        <f>Schedule_G!E85</f>
        <v>5114.05</v>
      </c>
      <c r="H44" s="1501"/>
      <c r="I44" s="1501"/>
      <c r="J44" s="1501"/>
      <c r="K44" s="1501"/>
      <c r="L44" s="1501"/>
      <c r="M44" s="1501"/>
      <c r="N44" s="1501"/>
      <c r="O44" s="1501"/>
      <c r="P44" s="1501"/>
      <c r="Q44" s="1501"/>
      <c r="R44" s="1501"/>
      <c r="S44" s="1501"/>
      <c r="T44" s="1501"/>
      <c r="U44" s="1501"/>
      <c r="V44" s="1501"/>
      <c r="W44" s="1501"/>
      <c r="AB44">
        <v>22600</v>
      </c>
      <c r="AC44">
        <v>4164505</v>
      </c>
      <c r="AD44" t="s">
        <v>788</v>
      </c>
      <c r="AE44">
        <v>4164505</v>
      </c>
      <c r="AF44">
        <v>645</v>
      </c>
      <c r="AG44" s="1860">
        <v>28856</v>
      </c>
      <c r="AH44" s="1860">
        <v>523456</v>
      </c>
      <c r="AI44" t="s">
        <v>775</v>
      </c>
      <c r="AJ44" t="s">
        <v>775</v>
      </c>
      <c r="AK44" t="s">
        <v>819</v>
      </c>
      <c r="AN44" t="str">
        <f t="shared" si="0"/>
        <v>41125871124048020</v>
      </c>
      <c r="AO44" t="str">
        <f t="shared" si="1"/>
        <v>4112587100294600</v>
      </c>
      <c r="AP44" s="1758" t="s">
        <v>774</v>
      </c>
      <c r="AQ44" s="1759">
        <v>4112587</v>
      </c>
      <c r="AR44" s="1758" t="s">
        <v>775</v>
      </c>
      <c r="AS44" s="1758">
        <v>34100</v>
      </c>
      <c r="AT44" s="1759">
        <v>34100</v>
      </c>
      <c r="AU44" s="1758">
        <v>1124048020</v>
      </c>
      <c r="AV44" s="1758">
        <v>1124048020</v>
      </c>
      <c r="AW44" s="1758">
        <v>100294600</v>
      </c>
      <c r="AX44" s="1758" t="s">
        <v>775</v>
      </c>
      <c r="AY44" s="1758" t="s">
        <v>775</v>
      </c>
      <c r="AZ44" s="1758" t="s">
        <v>775</v>
      </c>
      <c r="BA44" s="1758" t="s">
        <v>775</v>
      </c>
      <c r="BB44" s="1758" t="s">
        <v>775</v>
      </c>
      <c r="BC44" t="s">
        <v>775</v>
      </c>
      <c r="BD44" t="s">
        <v>775</v>
      </c>
    </row>
    <row r="45" spans="1:56" ht="12" customHeight="1">
      <c r="A45" t="str">
        <f>IF(AND(_C903906&gt;0,_C903907&gt;0),"Correct",IF(AND(_C903906=0,_C903907=0),"Correct","False"))</f>
        <v>Correct</v>
      </c>
      <c r="B45" s="1510" t="s">
        <v>1135</v>
      </c>
      <c r="C45" t="s">
        <v>192</v>
      </c>
      <c r="D45" s="1501">
        <f>Schedule_G!B86</f>
        <v>69</v>
      </c>
      <c r="E45" s="1501" t="str">
        <f>Schedule_G!C86</f>
        <v>SUBTOTAL PURCHASED NURSING SERVICES AND HOURS</v>
      </c>
      <c r="F45" s="1501">
        <f>Schedule_G!D86</f>
        <v>0</v>
      </c>
      <c r="G45" s="1501">
        <f>Schedule_G!E86</f>
        <v>0</v>
      </c>
      <c r="H45" s="1501"/>
      <c r="I45" s="1501"/>
      <c r="J45" s="1501"/>
      <c r="K45" s="1501"/>
      <c r="L45" s="1501"/>
      <c r="M45" s="1501"/>
      <c r="N45" s="1501"/>
      <c r="O45" s="1501"/>
      <c r="P45" s="1501"/>
      <c r="Q45" s="1501"/>
      <c r="R45" s="1501"/>
      <c r="S45" s="1501"/>
      <c r="T45" s="1501"/>
      <c r="U45" s="1501"/>
      <c r="V45" s="1501"/>
      <c r="W45" s="1501"/>
      <c r="AB45">
        <v>21400</v>
      </c>
      <c r="AC45">
        <v>4174900</v>
      </c>
      <c r="AD45" t="s">
        <v>788</v>
      </c>
      <c r="AE45">
        <v>4174900</v>
      </c>
      <c r="AF45">
        <v>749</v>
      </c>
      <c r="AG45" s="1860">
        <v>29738</v>
      </c>
      <c r="AH45" s="1860">
        <v>523456</v>
      </c>
      <c r="AI45" t="s">
        <v>775</v>
      </c>
      <c r="AJ45" t="s">
        <v>775</v>
      </c>
      <c r="AK45" t="s">
        <v>820</v>
      </c>
      <c r="AN45" t="str">
        <f t="shared" si="0"/>
        <v>41126291912927740</v>
      </c>
      <c r="AO45" t="str">
        <f t="shared" si="1"/>
        <v>4112629102210200</v>
      </c>
      <c r="AP45" s="1758" t="s">
        <v>774</v>
      </c>
      <c r="AQ45" s="1759">
        <v>4112629</v>
      </c>
      <c r="AR45" s="1758" t="s">
        <v>987</v>
      </c>
      <c r="AS45" s="1758">
        <v>35010</v>
      </c>
      <c r="AT45" s="1759">
        <v>35010</v>
      </c>
      <c r="AU45" s="1758">
        <v>1912927740</v>
      </c>
      <c r="AV45" s="1758">
        <v>1912927740</v>
      </c>
      <c r="AW45" s="1758">
        <v>102210200</v>
      </c>
      <c r="AX45" s="1758" t="s">
        <v>775</v>
      </c>
      <c r="AY45" s="1758" t="s">
        <v>775</v>
      </c>
      <c r="AZ45" s="1758" t="s">
        <v>775</v>
      </c>
      <c r="BA45" s="1758" t="s">
        <v>775</v>
      </c>
      <c r="BB45" s="1758" t="s">
        <v>775</v>
      </c>
      <c r="BC45" t="s">
        <v>775</v>
      </c>
      <c r="BD45" t="s">
        <v>775</v>
      </c>
    </row>
    <row r="46" spans="1:56" ht="12" customHeight="1">
      <c r="A46" t="str">
        <f>IF(AND(_C511409&gt;0,_C000742&gt;0),"Correct",IF(AND(_C511409=0,_C000742=0),"Correct","Error"))</f>
        <v>Correct</v>
      </c>
      <c r="B46" s="1510" t="s">
        <v>1135</v>
      </c>
      <c r="C46" t="s">
        <v>192</v>
      </c>
      <c r="D46" s="1501">
        <f>Schedule_G!B88</f>
        <v>71</v>
      </c>
      <c r="E46" s="1501">
        <f>Schedule_G!C88</f>
        <v>0</v>
      </c>
      <c r="F46" s="1501" t="str">
        <f>Schedule_G!D88</f>
        <v>Activities Director &amp; Assistants</v>
      </c>
      <c r="G46" s="1501">
        <f>Schedule_G!E88</f>
        <v>5114.09</v>
      </c>
      <c r="H46" s="1501"/>
      <c r="I46" s="1501"/>
      <c r="J46" s="1501"/>
      <c r="K46" s="1501"/>
      <c r="L46" s="1501"/>
      <c r="M46" s="1501"/>
      <c r="N46" s="1501"/>
      <c r="O46" s="1501"/>
      <c r="P46" s="1501"/>
      <c r="Q46" s="1501"/>
      <c r="R46" s="1501"/>
      <c r="S46" s="1501"/>
      <c r="T46" s="1501"/>
      <c r="U46" s="1501"/>
      <c r="V46" s="1501"/>
      <c r="W46" s="1501"/>
      <c r="AB46">
        <v>40330</v>
      </c>
      <c r="AC46">
        <v>4000006</v>
      </c>
      <c r="AD46" t="s">
        <v>1014</v>
      </c>
      <c r="AE46">
        <v>4000006</v>
      </c>
      <c r="AF46">
        <v>8805</v>
      </c>
      <c r="AG46" s="1860">
        <v>34182</v>
      </c>
      <c r="AH46" s="1860">
        <v>523456</v>
      </c>
      <c r="AI46" t="s">
        <v>775</v>
      </c>
      <c r="AJ46" t="s">
        <v>775</v>
      </c>
      <c r="AK46" t="s">
        <v>821</v>
      </c>
      <c r="AN46" t="str">
        <f t="shared" si="0"/>
        <v>42138561972600401</v>
      </c>
      <c r="AO46" t="str">
        <f t="shared" si="1"/>
        <v>4213856102354100</v>
      </c>
      <c r="AP46" s="1758" t="s">
        <v>774</v>
      </c>
      <c r="AQ46" s="1759">
        <v>4213856</v>
      </c>
      <c r="AR46" s="1758" t="s">
        <v>775</v>
      </c>
      <c r="AS46" s="1758">
        <v>40400</v>
      </c>
      <c r="AT46" s="1759">
        <v>40400</v>
      </c>
      <c r="AU46" s="1758">
        <v>1972600401</v>
      </c>
      <c r="AV46" s="1758">
        <v>1972600401</v>
      </c>
      <c r="AW46" s="1758">
        <v>102354100</v>
      </c>
      <c r="AX46" s="1758" t="s">
        <v>775</v>
      </c>
      <c r="AY46" s="1758" t="s">
        <v>775</v>
      </c>
      <c r="AZ46" s="1758" t="s">
        <v>775</v>
      </c>
      <c r="BA46" s="1758" t="s">
        <v>775</v>
      </c>
      <c r="BB46" s="1758" t="s">
        <v>775</v>
      </c>
      <c r="BC46" t="s">
        <v>775</v>
      </c>
      <c r="BD46" t="s">
        <v>775</v>
      </c>
    </row>
    <row r="47" spans="1:56" ht="12" customHeight="1">
      <c r="A47" t="str">
        <f>IF(AND(_C511413&gt;0,_C000774&gt;0),"Correct",IF(AND(_C511413=0,_C000774=0),"Correct","Error"))</f>
        <v>Correct</v>
      </c>
      <c r="B47" s="1510" t="s">
        <v>1135</v>
      </c>
      <c r="C47" t="s">
        <v>192</v>
      </c>
      <c r="D47" s="1501">
        <f>Schedule_G!B91</f>
        <v>74</v>
      </c>
      <c r="E47" s="1501">
        <f>Schedule_G!C91</f>
        <v>0</v>
      </c>
      <c r="F47" s="1501" t="str">
        <f>Schedule_G!D91</f>
        <v>Social Worker</v>
      </c>
      <c r="G47" s="1501">
        <f>Schedule_G!E91</f>
        <v>5114.13</v>
      </c>
      <c r="H47" s="1501"/>
      <c r="I47" s="1501"/>
      <c r="J47" s="1501"/>
      <c r="K47" s="1501"/>
      <c r="L47" s="1501"/>
      <c r="M47" s="1501"/>
      <c r="N47" s="1501"/>
      <c r="O47" s="1501"/>
      <c r="P47" s="1501"/>
      <c r="Q47" s="1501"/>
      <c r="R47" s="1501"/>
      <c r="S47" s="1501"/>
      <c r="T47" s="1501"/>
      <c r="U47" s="1501"/>
      <c r="V47" s="1501"/>
      <c r="W47" s="1501"/>
      <c r="AB47">
        <v>40340</v>
      </c>
      <c r="AC47">
        <v>4000014</v>
      </c>
      <c r="AD47" t="s">
        <v>1014</v>
      </c>
      <c r="AE47">
        <v>4000014</v>
      </c>
      <c r="AF47">
        <v>8806</v>
      </c>
      <c r="AG47" s="1860">
        <v>34269</v>
      </c>
      <c r="AH47" s="1860">
        <v>523456</v>
      </c>
      <c r="AI47" t="s">
        <v>775</v>
      </c>
      <c r="AJ47" t="s">
        <v>775</v>
      </c>
      <c r="AK47" t="s">
        <v>822</v>
      </c>
      <c r="AN47" t="str">
        <f t="shared" si="0"/>
        <v>4110888NULL</v>
      </c>
      <c r="AO47" t="str">
        <f t="shared" si="1"/>
        <v>4110888NULL</v>
      </c>
      <c r="AP47" s="1758" t="s">
        <v>774</v>
      </c>
      <c r="AQ47" s="1759">
        <v>4110888</v>
      </c>
      <c r="AR47" s="1758" t="s">
        <v>775</v>
      </c>
      <c r="AS47" s="1758">
        <v>2700</v>
      </c>
      <c r="AT47" s="1759">
        <v>2700</v>
      </c>
      <c r="AU47" s="1758" t="s">
        <v>775</v>
      </c>
      <c r="AV47" s="1758">
        <v>0</v>
      </c>
      <c r="AW47" s="1758" t="s">
        <v>775</v>
      </c>
      <c r="AX47" s="1758" t="s">
        <v>775</v>
      </c>
      <c r="AY47" s="1758" t="s">
        <v>775</v>
      </c>
      <c r="AZ47" s="1758" t="s">
        <v>775</v>
      </c>
      <c r="BA47" s="1758" t="s">
        <v>775</v>
      </c>
      <c r="BB47" s="1758" t="s">
        <v>775</v>
      </c>
      <c r="BC47" t="s">
        <v>775</v>
      </c>
      <c r="BD47" t="s">
        <v>775</v>
      </c>
    </row>
    <row r="48" spans="1:56" ht="12" customHeight="1">
      <c r="A48" t="str">
        <f>IF(AND(_C511414&gt;0,_C000782&gt;0),"Correct",IF(AND(_C511414=0,_C000782=0),"Correct","Error"))</f>
        <v>Correct</v>
      </c>
      <c r="B48" s="1510" t="s">
        <v>1135</v>
      </c>
      <c r="C48" t="s">
        <v>192</v>
      </c>
      <c r="D48" s="1501">
        <f>Schedule_G!B92</f>
        <v>75</v>
      </c>
      <c r="E48" s="1501">
        <f>Schedule_G!C92</f>
        <v>0</v>
      </c>
      <c r="F48" s="1501" t="str">
        <f>Schedule_G!D92</f>
        <v>Medical Records</v>
      </c>
      <c r="G48" s="1501">
        <f>Schedule_G!E92</f>
        <v>5114.14</v>
      </c>
      <c r="H48" s="1501"/>
      <c r="I48" s="1501"/>
      <c r="J48" s="1501"/>
      <c r="K48" s="1501"/>
      <c r="L48" s="1501"/>
      <c r="M48" s="1501"/>
      <c r="N48" s="1501"/>
      <c r="O48" s="1501"/>
      <c r="P48" s="1501"/>
      <c r="Q48" s="1501"/>
      <c r="R48" s="1501"/>
      <c r="S48" s="1501"/>
      <c r="T48" s="1501"/>
      <c r="U48" s="1501"/>
      <c r="V48" s="1501"/>
      <c r="W48" s="1501"/>
      <c r="AB48">
        <v>35060</v>
      </c>
      <c r="AC48">
        <v>4000121</v>
      </c>
      <c r="AD48" t="s">
        <v>1014</v>
      </c>
      <c r="AE48">
        <v>4000121</v>
      </c>
      <c r="AF48">
        <v>8807</v>
      </c>
      <c r="AG48" s="1860">
        <v>37196</v>
      </c>
      <c r="AH48" s="1860">
        <v>523456</v>
      </c>
      <c r="AI48" t="s">
        <v>775</v>
      </c>
      <c r="AJ48" t="s">
        <v>775</v>
      </c>
      <c r="AK48" t="s">
        <v>823</v>
      </c>
      <c r="AN48" t="str">
        <f t="shared" si="0"/>
        <v>41122981710028303</v>
      </c>
      <c r="AO48" t="str">
        <f t="shared" si="1"/>
        <v>4112298NULL</v>
      </c>
      <c r="AP48" s="1758" t="s">
        <v>774</v>
      </c>
      <c r="AQ48" s="1759">
        <v>4112298</v>
      </c>
      <c r="AR48" s="1758" t="s">
        <v>775</v>
      </c>
      <c r="AS48" s="1758">
        <v>24900</v>
      </c>
      <c r="AT48" s="1759">
        <v>24900</v>
      </c>
      <c r="AU48" s="1758">
        <v>1710028303</v>
      </c>
      <c r="AV48" s="1758">
        <v>1710028303</v>
      </c>
      <c r="AW48" s="1758" t="s">
        <v>775</v>
      </c>
      <c r="AX48" s="1758" t="s">
        <v>775</v>
      </c>
      <c r="AY48" s="1758" t="s">
        <v>775</v>
      </c>
      <c r="AZ48" s="1758" t="s">
        <v>775</v>
      </c>
      <c r="BA48" s="1758" t="s">
        <v>775</v>
      </c>
      <c r="BB48" s="1758" t="s">
        <v>775</v>
      </c>
      <c r="BC48" t="s">
        <v>775</v>
      </c>
      <c r="BD48" t="s">
        <v>775</v>
      </c>
    </row>
    <row r="49" spans="1:56" ht="12" customHeight="1">
      <c r="A49" t="str">
        <f>IF(AND(_C511425&gt;0,_C903667&gt;0),"Correct",IF(AND(_C511425=0,_C903667=0),"Correct","Error"))</f>
        <v>Correct</v>
      </c>
      <c r="B49" s="1510" t="s">
        <v>1135</v>
      </c>
      <c r="C49" t="s">
        <v>192</v>
      </c>
      <c r="D49" s="1501">
        <f>Schedule_G!B103</f>
        <v>77</v>
      </c>
      <c r="E49" s="1501">
        <f>Schedule_G!C103</f>
        <v>0</v>
      </c>
      <c r="F49" s="1501" t="str">
        <f>Schedule_G!D103</f>
        <v>Physician</v>
      </c>
      <c r="G49" s="1501">
        <f>Schedule_G!E103</f>
        <v>5114.25</v>
      </c>
      <c r="H49" s="1501"/>
      <c r="I49" s="1501"/>
      <c r="J49" s="1501"/>
      <c r="K49" s="1501"/>
      <c r="L49" s="1501"/>
      <c r="M49" s="1501"/>
      <c r="N49" s="1501"/>
      <c r="O49" s="1501"/>
      <c r="P49" s="1501"/>
      <c r="Q49" s="1501"/>
      <c r="R49" s="1501"/>
      <c r="S49" s="1501"/>
      <c r="T49" s="1501"/>
      <c r="U49" s="1501"/>
      <c r="V49" s="1501"/>
      <c r="W49" s="1501"/>
      <c r="AB49">
        <v>41116</v>
      </c>
      <c r="AC49">
        <v>4015481</v>
      </c>
      <c r="AD49" t="s">
        <v>1014</v>
      </c>
      <c r="AE49">
        <v>4015481</v>
      </c>
      <c r="AF49">
        <v>1548</v>
      </c>
      <c r="AG49" s="1860">
        <v>43077</v>
      </c>
      <c r="AH49" s="1860">
        <v>523456</v>
      </c>
      <c r="AI49" t="s">
        <v>775</v>
      </c>
      <c r="AJ49" t="s">
        <v>775</v>
      </c>
      <c r="AK49" t="s">
        <v>824</v>
      </c>
      <c r="AN49" t="str">
        <f t="shared" si="0"/>
        <v>42125931104939479</v>
      </c>
      <c r="AO49" t="str">
        <f t="shared" si="1"/>
        <v>4212593100259000</v>
      </c>
      <c r="AP49" s="1758" t="s">
        <v>774</v>
      </c>
      <c r="AQ49" s="1759">
        <v>4212593</v>
      </c>
      <c r="AR49" s="1758" t="s">
        <v>775</v>
      </c>
      <c r="AS49" s="1758">
        <v>40380</v>
      </c>
      <c r="AT49" s="1759">
        <v>40380</v>
      </c>
      <c r="AU49" s="1758">
        <v>1104939479</v>
      </c>
      <c r="AV49" s="1758">
        <v>1104939479</v>
      </c>
      <c r="AW49" s="1758">
        <v>100259000</v>
      </c>
      <c r="AX49" s="1758" t="s">
        <v>775</v>
      </c>
      <c r="AY49" s="1758" t="s">
        <v>775</v>
      </c>
      <c r="AZ49" s="1758" t="s">
        <v>775</v>
      </c>
      <c r="BA49" s="1758" t="s">
        <v>775</v>
      </c>
      <c r="BB49" s="1758" t="s">
        <v>775</v>
      </c>
      <c r="BC49" t="s">
        <v>775</v>
      </c>
      <c r="BD49" t="s">
        <v>775</v>
      </c>
    </row>
    <row r="50" spans="1:56" ht="12" customHeight="1">
      <c r="A50" t="str">
        <f>IF(AND(_C511424&gt;0,_C001567&gt;0),"Correct",IF(AND(_C511424=0,_C001567=0),"Correct","Error"))</f>
        <v>Correct</v>
      </c>
      <c r="B50" s="1510" t="s">
        <v>1135</v>
      </c>
      <c r="C50" t="s">
        <v>192</v>
      </c>
      <c r="D50" s="1501">
        <f>Schedule_G!B104</f>
        <v>78</v>
      </c>
      <c r="E50" s="1501">
        <f>Schedule_G!C104</f>
        <v>0</v>
      </c>
      <c r="F50" s="1501" t="str">
        <f>Schedule_G!D104</f>
        <v>Other           (Attach Schedule)</v>
      </c>
      <c r="G50" s="1501">
        <f>Schedule_G!E104</f>
        <v>5114.24</v>
      </c>
      <c r="H50" s="1501"/>
      <c r="I50" s="1501"/>
      <c r="J50" s="1501"/>
      <c r="K50" s="1501"/>
      <c r="L50" s="1501"/>
      <c r="M50" s="1501"/>
      <c r="N50" s="1501"/>
      <c r="O50" s="1501"/>
      <c r="P50" s="1501"/>
      <c r="Q50" s="1501"/>
      <c r="R50" s="1501"/>
      <c r="S50" s="1501"/>
      <c r="T50" s="1501"/>
      <c r="U50" s="1501"/>
      <c r="V50" s="1501"/>
      <c r="W50" s="1501"/>
      <c r="AB50">
        <v>40020</v>
      </c>
      <c r="AC50">
        <v>4110490</v>
      </c>
      <c r="AD50" t="s">
        <v>1014</v>
      </c>
      <c r="AE50">
        <v>4110490</v>
      </c>
      <c r="AF50">
        <v>1049</v>
      </c>
      <c r="AG50" s="1860">
        <v>33049</v>
      </c>
      <c r="AH50" s="1860">
        <v>523456</v>
      </c>
      <c r="AI50" t="s">
        <v>775</v>
      </c>
      <c r="AJ50" t="s">
        <v>775</v>
      </c>
      <c r="AK50" t="s">
        <v>825</v>
      </c>
      <c r="AN50" t="str">
        <f t="shared" si="0"/>
        <v>4110615NULL</v>
      </c>
      <c r="AO50" t="str">
        <f t="shared" si="1"/>
        <v>4110615NULL</v>
      </c>
      <c r="AP50" s="1758" t="s">
        <v>774</v>
      </c>
      <c r="AQ50" s="1759">
        <v>4110615</v>
      </c>
      <c r="AR50" s="1758" t="s">
        <v>775</v>
      </c>
      <c r="AS50" s="1758">
        <v>39950</v>
      </c>
      <c r="AT50" s="1760">
        <v>39950</v>
      </c>
      <c r="AU50" s="1758" t="s">
        <v>775</v>
      </c>
      <c r="AV50" s="1758">
        <v>0</v>
      </c>
      <c r="AW50" s="1758" t="s">
        <v>775</v>
      </c>
      <c r="AX50" s="1758" t="s">
        <v>775</v>
      </c>
      <c r="AY50" s="1758" t="s">
        <v>775</v>
      </c>
      <c r="AZ50" s="1758" t="s">
        <v>775</v>
      </c>
      <c r="BA50" s="1758" t="s">
        <v>775</v>
      </c>
      <c r="BB50" s="1758" t="s">
        <v>775</v>
      </c>
      <c r="BC50" t="s">
        <v>775</v>
      </c>
      <c r="BD50" t="s">
        <v>775</v>
      </c>
    </row>
    <row r="51" spans="1:56" ht="12" customHeight="1">
      <c r="A51" t="str">
        <f>IF(AND(_C005114&gt;0,_C000814&gt;0),"Correct",IF(AND(_C005114=0,_C000814=0),"Correct","Error"))</f>
        <v>Correct</v>
      </c>
      <c r="B51" s="1510" t="s">
        <v>1135</v>
      </c>
      <c r="C51" t="s">
        <v>192</v>
      </c>
      <c r="D51" s="1501">
        <f>Schedule_G!B105</f>
        <v>79</v>
      </c>
      <c r="E51" s="1501" t="str">
        <f>Schedule_G!C105</f>
        <v>TOTAL PURCHASED SERVICES</v>
      </c>
      <c r="F51" s="1501">
        <f>Schedule_G!D105</f>
        <v>0</v>
      </c>
      <c r="G51" s="1501">
        <f>Schedule_G!E105</f>
        <v>5114</v>
      </c>
      <c r="H51" s="1501"/>
      <c r="I51" s="1501"/>
      <c r="J51" s="1501"/>
      <c r="K51" s="1501"/>
      <c r="L51" s="1501"/>
      <c r="M51" s="1501"/>
      <c r="N51" s="1501"/>
      <c r="O51" s="1501"/>
      <c r="P51" s="1501"/>
      <c r="Q51" s="1501"/>
      <c r="R51" s="1501"/>
      <c r="S51" s="1501"/>
      <c r="T51" s="1501"/>
      <c r="U51" s="1501"/>
      <c r="V51" s="1501"/>
      <c r="W51" s="1501"/>
      <c r="AB51">
        <v>2600</v>
      </c>
      <c r="AC51">
        <v>4110508</v>
      </c>
      <c r="AD51" t="s">
        <v>1014</v>
      </c>
      <c r="AE51">
        <v>4110508</v>
      </c>
      <c r="AF51">
        <v>1050</v>
      </c>
      <c r="AG51" s="1860">
        <v>33039</v>
      </c>
      <c r="AH51" s="1860">
        <v>523456</v>
      </c>
      <c r="AI51" t="s">
        <v>775</v>
      </c>
      <c r="AJ51" t="s">
        <v>775</v>
      </c>
      <c r="AK51" t="s">
        <v>1068</v>
      </c>
      <c r="AN51" t="str">
        <f t="shared" si="0"/>
        <v>4110607NULL</v>
      </c>
      <c r="AO51" t="str">
        <f t="shared" si="1"/>
        <v>4110607NULL</v>
      </c>
      <c r="AP51" s="1758" t="s">
        <v>774</v>
      </c>
      <c r="AQ51" s="1759">
        <v>4110607</v>
      </c>
      <c r="AR51" s="1758" t="s">
        <v>775</v>
      </c>
      <c r="AS51" s="1758">
        <v>21800</v>
      </c>
      <c r="AT51" s="1760">
        <v>21800</v>
      </c>
      <c r="AU51" s="1758" t="s">
        <v>775</v>
      </c>
      <c r="AV51" s="1758">
        <v>0</v>
      </c>
      <c r="AW51" s="1758" t="s">
        <v>775</v>
      </c>
      <c r="AX51" s="1758" t="s">
        <v>775</v>
      </c>
      <c r="AY51" s="1758" t="s">
        <v>775</v>
      </c>
      <c r="AZ51" s="1758" t="s">
        <v>775</v>
      </c>
      <c r="BA51" s="1758" t="s">
        <v>775</v>
      </c>
      <c r="BB51" s="1758" t="s">
        <v>775</v>
      </c>
      <c r="BC51" t="s">
        <v>775</v>
      </c>
      <c r="BD51" t="s">
        <v>775</v>
      </c>
    </row>
    <row r="52" spans="1:56" ht="12" customHeight="1">
      <c r="A52" t="str">
        <f>IF(AND(_C511501&gt;0,_C000680&gt;0),"Correct",IF(AND(_C511501=0,_C000680=0),"Correct","Error"))</f>
        <v>Correct</v>
      </c>
      <c r="B52" s="1510" t="s">
        <v>1135</v>
      </c>
      <c r="C52" t="s">
        <v>192</v>
      </c>
      <c r="D52" s="1501">
        <f>Schedule_G!B107</f>
        <v>81</v>
      </c>
      <c r="E52" s="1501">
        <f>Schedule_G!C107</f>
        <v>0</v>
      </c>
      <c r="F52" s="1501" t="str">
        <f>Schedule_G!D107</f>
        <v>DNS</v>
      </c>
      <c r="G52" s="1501">
        <f>Schedule_G!E107</f>
        <v>5115.01</v>
      </c>
      <c r="H52" s="1501"/>
      <c r="I52" s="1501"/>
      <c r="J52" s="1501"/>
      <c r="K52" s="1501"/>
      <c r="L52" s="1501"/>
      <c r="M52" s="1501"/>
      <c r="N52" s="1501"/>
      <c r="O52" s="1501"/>
      <c r="P52" s="1501"/>
      <c r="Q52" s="1501"/>
      <c r="R52" s="1501"/>
      <c r="S52" s="1501"/>
      <c r="T52" s="1501"/>
      <c r="U52" s="1501"/>
      <c r="V52" s="1501"/>
      <c r="W52" s="1501"/>
      <c r="Y52" s="1502"/>
      <c r="Z52" s="1502"/>
      <c r="AB52">
        <v>40260</v>
      </c>
      <c r="AC52">
        <v>4111068</v>
      </c>
      <c r="AD52" t="s">
        <v>1014</v>
      </c>
      <c r="AE52">
        <v>4111068</v>
      </c>
      <c r="AF52">
        <v>1106</v>
      </c>
      <c r="AG52" s="1860">
        <v>33780</v>
      </c>
      <c r="AH52" s="1860">
        <v>523456</v>
      </c>
      <c r="AI52" t="s">
        <v>775</v>
      </c>
      <c r="AJ52" t="s">
        <v>775</v>
      </c>
      <c r="AK52" t="s">
        <v>826</v>
      </c>
      <c r="AN52" t="str">
        <f t="shared" si="0"/>
        <v>41119931124073515</v>
      </c>
      <c r="AO52" t="str">
        <f t="shared" si="1"/>
        <v>4111993104295000</v>
      </c>
      <c r="AP52" s="1758" t="s">
        <v>774</v>
      </c>
      <c r="AQ52" s="1759">
        <v>4111993</v>
      </c>
      <c r="AR52" s="1758" t="s">
        <v>775</v>
      </c>
      <c r="AS52" s="1758">
        <v>20900</v>
      </c>
      <c r="AT52" s="1759">
        <v>20900</v>
      </c>
      <c r="AU52" s="1758">
        <v>1124073515</v>
      </c>
      <c r="AV52" s="1758">
        <v>1124073515</v>
      </c>
      <c r="AW52" s="1758">
        <v>104295000</v>
      </c>
      <c r="AX52" s="1758" t="s">
        <v>775</v>
      </c>
      <c r="AY52" s="1758" t="s">
        <v>775</v>
      </c>
      <c r="AZ52" s="1758" t="s">
        <v>775</v>
      </c>
      <c r="BA52" s="1758" t="s">
        <v>775</v>
      </c>
      <c r="BB52" s="1758" t="s">
        <v>775</v>
      </c>
      <c r="BC52" t="s">
        <v>775</v>
      </c>
      <c r="BD52" t="s">
        <v>775</v>
      </c>
    </row>
    <row r="53" spans="1:56" ht="12" customHeight="1">
      <c r="A53" t="str">
        <f>IF(AND(_C511502&gt;0,_C000688&gt;0),"Correct",IF(AND(_C511502=0,_C000688=0),"Correct","Error"))</f>
        <v>Correct</v>
      </c>
      <c r="B53" s="1510" t="s">
        <v>1135</v>
      </c>
      <c r="C53" t="s">
        <v>192</v>
      </c>
      <c r="D53" s="1501">
        <f>Schedule_G!B108</f>
        <v>82</v>
      </c>
      <c r="E53" s="1501">
        <f>Schedule_G!C108</f>
        <v>0</v>
      </c>
      <c r="F53" s="1501" t="str">
        <f>Schedule_G!D108</f>
        <v>RN</v>
      </c>
      <c r="G53" s="1501">
        <f>Schedule_G!E108</f>
        <v>5115.02</v>
      </c>
      <c r="H53" s="1501"/>
      <c r="I53" s="1501"/>
      <c r="J53" s="1501"/>
      <c r="K53" s="1501"/>
      <c r="L53" s="1501"/>
      <c r="M53" s="1501"/>
      <c r="N53" s="1501"/>
      <c r="O53" s="1501"/>
      <c r="P53" s="1501"/>
      <c r="Q53" s="1501"/>
      <c r="R53" s="1501"/>
      <c r="S53" s="1501"/>
      <c r="T53" s="1501"/>
      <c r="U53" s="1501"/>
      <c r="V53" s="1501"/>
      <c r="W53" s="1501"/>
      <c r="AB53">
        <v>40740</v>
      </c>
      <c r="AC53">
        <v>4112900</v>
      </c>
      <c r="AD53" t="s">
        <v>1014</v>
      </c>
      <c r="AE53">
        <v>4112900</v>
      </c>
      <c r="AF53">
        <v>1290</v>
      </c>
      <c r="AG53" s="1860">
        <v>36444</v>
      </c>
      <c r="AH53" s="1860">
        <v>523456</v>
      </c>
      <c r="AI53" t="s">
        <v>775</v>
      </c>
      <c r="AJ53" t="s">
        <v>775</v>
      </c>
      <c r="AK53" t="s">
        <v>828</v>
      </c>
      <c r="AN53" t="str">
        <f t="shared" si="0"/>
        <v>41126371053459925</v>
      </c>
      <c r="AO53" t="str">
        <f t="shared" si="1"/>
        <v>4112637101154700</v>
      </c>
      <c r="AP53" s="1758" t="s">
        <v>774</v>
      </c>
      <c r="AQ53" s="1759">
        <v>4112637</v>
      </c>
      <c r="AR53" s="1758" t="s">
        <v>775</v>
      </c>
      <c r="AS53" s="1758">
        <v>28000</v>
      </c>
      <c r="AT53" s="1760">
        <v>28000</v>
      </c>
      <c r="AU53" s="1758">
        <v>1053459925</v>
      </c>
      <c r="AV53" s="1758">
        <v>1053459925</v>
      </c>
      <c r="AW53" s="1758">
        <v>101154700</v>
      </c>
      <c r="AX53" s="1758" t="s">
        <v>775</v>
      </c>
      <c r="AY53" s="1758" t="s">
        <v>775</v>
      </c>
      <c r="AZ53" s="1758" t="s">
        <v>775</v>
      </c>
      <c r="BA53" s="1758" t="s">
        <v>775</v>
      </c>
      <c r="BB53" s="1758" t="s">
        <v>775</v>
      </c>
      <c r="BC53" t="s">
        <v>775</v>
      </c>
      <c r="BD53" t="s">
        <v>775</v>
      </c>
    </row>
    <row r="54" spans="1:56" ht="12" customHeight="1">
      <c r="A54" s="1502" t="str">
        <f>IF(AND(_C511503&gt;0,_C000696&gt;0),"Correct",IF(AND(_C511503=0,_C000696=0),"Correct","Error"))</f>
        <v>Correct</v>
      </c>
      <c r="B54" s="1510" t="s">
        <v>1135</v>
      </c>
      <c r="C54" t="s">
        <v>192</v>
      </c>
      <c r="D54" s="1501">
        <f>Schedule_G!B109</f>
        <v>83</v>
      </c>
      <c r="E54" s="1501">
        <f>Schedule_G!C109</f>
        <v>0</v>
      </c>
      <c r="F54" s="1501" t="str">
        <f>Schedule_G!D109</f>
        <v>LPN</v>
      </c>
      <c r="G54" s="1501">
        <f>Schedule_G!E109</f>
        <v>5115.03</v>
      </c>
      <c r="H54" s="1501"/>
      <c r="I54" s="1501"/>
      <c r="J54" s="1501"/>
      <c r="K54" s="1501"/>
      <c r="L54" s="1501"/>
      <c r="M54" s="1501"/>
      <c r="N54" s="1501"/>
      <c r="O54" s="1501"/>
      <c r="P54" s="1501"/>
      <c r="Q54" s="1501"/>
      <c r="R54" s="1501"/>
      <c r="S54" s="1501"/>
      <c r="T54" s="1501"/>
      <c r="U54" s="1501"/>
      <c r="V54" s="1501"/>
      <c r="W54" s="1501"/>
      <c r="AB54">
        <v>40410</v>
      </c>
      <c r="AC54">
        <v>4113460</v>
      </c>
      <c r="AD54" t="s">
        <v>1014</v>
      </c>
      <c r="AE54">
        <v>4113460</v>
      </c>
      <c r="AF54">
        <v>1346</v>
      </c>
      <c r="AG54" s="1860">
        <v>37803</v>
      </c>
      <c r="AH54" s="1860">
        <v>523456</v>
      </c>
      <c r="AI54" t="s">
        <v>775</v>
      </c>
      <c r="AJ54" t="s">
        <v>775</v>
      </c>
      <c r="AK54" t="s">
        <v>829</v>
      </c>
      <c r="AN54" t="str">
        <f t="shared" si="0"/>
        <v>4110599NULL</v>
      </c>
      <c r="AO54" t="str">
        <f t="shared" si="1"/>
        <v>4110599NULL</v>
      </c>
      <c r="AP54" s="1758" t="s">
        <v>774</v>
      </c>
      <c r="AQ54" s="1759">
        <v>4110599</v>
      </c>
      <c r="AR54" s="1758" t="s">
        <v>775</v>
      </c>
      <c r="AS54" s="1758">
        <v>10800</v>
      </c>
      <c r="AT54" s="1760">
        <v>10800</v>
      </c>
      <c r="AU54" s="1758" t="s">
        <v>775</v>
      </c>
      <c r="AV54" s="1758">
        <v>0</v>
      </c>
      <c r="AW54" s="1758" t="s">
        <v>775</v>
      </c>
      <c r="AX54" s="1758" t="s">
        <v>775</v>
      </c>
      <c r="AY54" s="1758" t="s">
        <v>775</v>
      </c>
      <c r="AZ54" s="1758" t="s">
        <v>775</v>
      </c>
      <c r="BA54" s="1758" t="s">
        <v>775</v>
      </c>
      <c r="BB54" s="1758" t="s">
        <v>775</v>
      </c>
      <c r="BC54" t="s">
        <v>775</v>
      </c>
      <c r="BD54" t="s">
        <v>775</v>
      </c>
    </row>
    <row r="55" spans="1:56" ht="12" customHeight="1">
      <c r="A55" t="str">
        <f>IF(AND(_C511504&gt;0,_C000704&gt;0),"Correct",IF(AND(_C511504=0,_C000704=0),"Correct","Error"))</f>
        <v>Correct</v>
      </c>
      <c r="B55" s="1510" t="s">
        <v>1135</v>
      </c>
      <c r="C55" t="s">
        <v>192</v>
      </c>
      <c r="D55" s="1501">
        <f>Schedule_G!B110</f>
        <v>84</v>
      </c>
      <c r="E55" s="1501">
        <f>Schedule_G!C110</f>
        <v>0</v>
      </c>
      <c r="F55" s="1501" t="str">
        <f>Schedule_G!D110</f>
        <v>Certified Nursing Assistants</v>
      </c>
      <c r="G55" s="1501">
        <f>Schedule_G!E110</f>
        <v>5115.04</v>
      </c>
      <c r="H55" s="1501"/>
      <c r="I55" s="1501"/>
      <c r="J55" s="1501"/>
      <c r="K55" s="1501"/>
      <c r="L55" s="1501"/>
      <c r="M55" s="1501"/>
      <c r="N55" s="1501"/>
      <c r="O55" s="1501"/>
      <c r="P55" s="1501"/>
      <c r="Q55" s="1501"/>
      <c r="R55" s="1501"/>
      <c r="S55" s="1501"/>
      <c r="T55" s="1501"/>
      <c r="U55" s="1501"/>
      <c r="V55" s="1501"/>
      <c r="W55" s="1501"/>
      <c r="AB55">
        <v>40750</v>
      </c>
      <c r="AC55">
        <v>4113726</v>
      </c>
      <c r="AD55" t="s">
        <v>1014</v>
      </c>
      <c r="AE55">
        <v>4113726</v>
      </c>
      <c r="AF55">
        <v>1372</v>
      </c>
      <c r="AG55" s="1860">
        <v>38353</v>
      </c>
      <c r="AH55" s="1860">
        <v>523456</v>
      </c>
      <c r="AI55" t="s">
        <v>775</v>
      </c>
      <c r="AJ55" t="s">
        <v>775</v>
      </c>
      <c r="AK55" t="s">
        <v>830</v>
      </c>
      <c r="AN55" t="str">
        <f t="shared" si="0"/>
        <v>41113161508964719</v>
      </c>
      <c r="AO55" t="str">
        <f t="shared" si="1"/>
        <v>4111316101217500</v>
      </c>
      <c r="AP55" s="1758" t="s">
        <v>774</v>
      </c>
      <c r="AQ55" s="1759">
        <v>4111316</v>
      </c>
      <c r="AR55" s="1758" t="s">
        <v>775</v>
      </c>
      <c r="AS55" s="1758">
        <v>2400</v>
      </c>
      <c r="AT55" s="1759">
        <v>2400</v>
      </c>
      <c r="AU55" s="1758">
        <v>1508964719</v>
      </c>
      <c r="AV55" s="1758">
        <v>1508964719</v>
      </c>
      <c r="AW55" s="1758">
        <v>101217500</v>
      </c>
      <c r="AX55" s="1758" t="s">
        <v>775</v>
      </c>
      <c r="AY55" s="1758" t="s">
        <v>775</v>
      </c>
      <c r="AZ55" s="1758" t="s">
        <v>775</v>
      </c>
      <c r="BA55" s="1758" t="s">
        <v>775</v>
      </c>
      <c r="BB55" s="1758" t="s">
        <v>775</v>
      </c>
      <c r="BC55" t="s">
        <v>775</v>
      </c>
      <c r="BD55" t="s">
        <v>775</v>
      </c>
    </row>
    <row r="56" spans="1:56" ht="12" customHeight="1">
      <c r="A56" t="str">
        <f>IF(AND(_C511505&gt;0,_C903911&gt;0),"Correct",IF(AND(_C511505=0,_C903911=0),"Correct","Error"))</f>
        <v>Correct</v>
      </c>
      <c r="B56" s="1510" t="s">
        <v>1135</v>
      </c>
      <c r="C56" t="s">
        <v>192</v>
      </c>
      <c r="D56" s="1501">
        <f>Schedule_G!B111</f>
        <v>85</v>
      </c>
      <c r="E56" s="1501">
        <f>Schedule_G!C111</f>
        <v>0</v>
      </c>
      <c r="F56" s="1501" t="str">
        <f>Schedule_G!D111</f>
        <v>Other Nursing With Admin. Duties
(attached schedule)</v>
      </c>
      <c r="G56" s="1501">
        <f>Schedule_G!E111</f>
        <v>5115.05</v>
      </c>
      <c r="H56" s="1501"/>
      <c r="I56" s="1501"/>
      <c r="J56" s="1501"/>
      <c r="K56" s="1501"/>
      <c r="L56" s="1501"/>
      <c r="M56" s="1501"/>
      <c r="N56" s="1501"/>
      <c r="O56" s="1501"/>
      <c r="P56" s="1501"/>
      <c r="Q56" s="1501"/>
      <c r="R56" s="1501"/>
      <c r="S56" s="1501"/>
      <c r="T56" s="1501"/>
      <c r="U56" s="1501"/>
      <c r="V56" s="1501"/>
      <c r="W56" s="1501"/>
      <c r="AB56">
        <v>26500</v>
      </c>
      <c r="AC56">
        <v>4113742</v>
      </c>
      <c r="AD56" t="s">
        <v>1014</v>
      </c>
      <c r="AE56">
        <v>4113742</v>
      </c>
      <c r="AF56">
        <v>1374</v>
      </c>
      <c r="AG56" s="1860">
        <v>38384</v>
      </c>
      <c r="AH56" s="1860">
        <v>523456</v>
      </c>
      <c r="AI56" t="s">
        <v>775</v>
      </c>
      <c r="AJ56" t="s">
        <v>775</v>
      </c>
      <c r="AK56" t="s">
        <v>831</v>
      </c>
      <c r="AN56" t="str">
        <f t="shared" si="0"/>
        <v>4110482NULL</v>
      </c>
      <c r="AO56" t="str">
        <f t="shared" si="1"/>
        <v>4110482NULL</v>
      </c>
      <c r="AP56" s="1758" t="s">
        <v>774</v>
      </c>
      <c r="AQ56" s="1759">
        <v>4110482</v>
      </c>
      <c r="AR56" s="1758" t="s">
        <v>775</v>
      </c>
      <c r="AS56" s="1758">
        <v>25060</v>
      </c>
      <c r="AT56" s="1759">
        <v>25060</v>
      </c>
      <c r="AU56" s="1758" t="s">
        <v>775</v>
      </c>
      <c r="AV56" s="1758">
        <v>0</v>
      </c>
      <c r="AW56" s="1758" t="s">
        <v>775</v>
      </c>
      <c r="AX56" s="1758" t="s">
        <v>775</v>
      </c>
      <c r="AY56" s="1758" t="s">
        <v>775</v>
      </c>
      <c r="AZ56" s="1758" t="s">
        <v>775</v>
      </c>
      <c r="BA56" s="1758" t="s">
        <v>775</v>
      </c>
      <c r="BB56" s="1758" t="s">
        <v>775</v>
      </c>
      <c r="BC56" t="s">
        <v>775</v>
      </c>
      <c r="BD56" t="s">
        <v>775</v>
      </c>
    </row>
    <row r="57" spans="1:56" ht="12" customHeight="1">
      <c r="A57" t="str">
        <f>IF(AND(_C903915&gt;0,_C903916&gt;0),"Correct",IF(AND(_C903915=0,_C903916=0),"Correct","Error"))</f>
        <v>Correct</v>
      </c>
      <c r="B57" s="1510" t="s">
        <v>1135</v>
      </c>
      <c r="C57" t="s">
        <v>192</v>
      </c>
      <c r="D57" s="1501">
        <f>Schedule_G!B112</f>
        <v>86</v>
      </c>
      <c r="E57" s="1501" t="str">
        <f>Schedule_G!C112</f>
        <v>SUBTOTAL ALLOCATED NURSING SERVICES AND HOURS</v>
      </c>
      <c r="F57" s="1501">
        <f>Schedule_G!D112</f>
        <v>0</v>
      </c>
      <c r="G57" s="1501">
        <f>Schedule_G!E112</f>
        <v>0</v>
      </c>
      <c r="H57" s="1501"/>
      <c r="I57" s="1501"/>
      <c r="J57" s="1501"/>
      <c r="K57" s="1501"/>
      <c r="L57" s="1501"/>
      <c r="M57" s="1501"/>
      <c r="N57" s="1501"/>
      <c r="O57" s="1501"/>
      <c r="P57" s="1501"/>
      <c r="Q57" s="1501"/>
      <c r="R57" s="1501"/>
      <c r="S57" s="1501"/>
      <c r="T57" s="1501"/>
      <c r="U57" s="1501"/>
      <c r="V57" s="1501"/>
      <c r="W57" s="1501"/>
      <c r="AB57">
        <v>10300</v>
      </c>
      <c r="AC57">
        <v>4113924</v>
      </c>
      <c r="AD57" t="s">
        <v>1014</v>
      </c>
      <c r="AE57">
        <v>4113924</v>
      </c>
      <c r="AF57">
        <v>1392</v>
      </c>
      <c r="AG57" s="1860">
        <v>38749</v>
      </c>
      <c r="AH57" s="1860">
        <v>523456</v>
      </c>
      <c r="AI57" t="s">
        <v>775</v>
      </c>
      <c r="AJ57" t="s">
        <v>775</v>
      </c>
      <c r="AK57" t="s">
        <v>832</v>
      </c>
      <c r="AN57" t="str">
        <f t="shared" si="0"/>
        <v>4110565NULL</v>
      </c>
      <c r="AO57" t="str">
        <f t="shared" si="1"/>
        <v>4110565NULL</v>
      </c>
      <c r="AP57" s="1758" t="s">
        <v>774</v>
      </c>
      <c r="AQ57" s="1759">
        <v>4110565</v>
      </c>
      <c r="AR57" s="1758" t="s">
        <v>775</v>
      </c>
      <c r="AS57" s="1758">
        <v>9500</v>
      </c>
      <c r="AT57" s="1760">
        <v>9500</v>
      </c>
      <c r="AU57" s="1758" t="s">
        <v>775</v>
      </c>
      <c r="AV57" s="1758">
        <v>0</v>
      </c>
      <c r="AW57" s="1758" t="s">
        <v>775</v>
      </c>
      <c r="AX57" s="1758" t="s">
        <v>775</v>
      </c>
      <c r="AY57" s="1758" t="s">
        <v>775</v>
      </c>
      <c r="AZ57" s="1758" t="s">
        <v>775</v>
      </c>
      <c r="BA57" s="1758" t="s">
        <v>775</v>
      </c>
      <c r="BB57" s="1758" t="s">
        <v>775</v>
      </c>
      <c r="BC57" t="s">
        <v>775</v>
      </c>
      <c r="BD57" t="s">
        <v>775</v>
      </c>
    </row>
    <row r="58" spans="1:56" ht="12" customHeight="1">
      <c r="A58" t="str">
        <f>IF(AND(_C511509&gt;0,_C000744&gt;0),"Correct",IF(AND(_C511509=0,_C000744=0),"Correct","Error"))</f>
        <v>Correct</v>
      </c>
      <c r="B58" s="1510" t="s">
        <v>1135</v>
      </c>
      <c r="C58" t="s">
        <v>192</v>
      </c>
      <c r="D58" s="1501">
        <f>Schedule_G!B114</f>
        <v>88</v>
      </c>
      <c r="E58" s="1501">
        <f>Schedule_G!C114</f>
        <v>0</v>
      </c>
      <c r="F58" s="1501" t="str">
        <f>Schedule_G!D114</f>
        <v>Activities Director &amp; Assistants</v>
      </c>
      <c r="G58" s="1501">
        <f>Schedule_G!E114</f>
        <v>5115.09</v>
      </c>
      <c r="H58" s="1501"/>
      <c r="I58" s="1501"/>
      <c r="J58" s="1501"/>
      <c r="K58" s="1501"/>
      <c r="L58" s="1501"/>
      <c r="M58" s="1501"/>
      <c r="N58" s="1501"/>
      <c r="O58" s="1501"/>
      <c r="P58" s="1501"/>
      <c r="Q58" s="1501"/>
      <c r="R58" s="1501"/>
      <c r="S58" s="1501"/>
      <c r="T58" s="1501"/>
      <c r="U58" s="1501"/>
      <c r="V58" s="1501"/>
      <c r="W58" s="1501"/>
      <c r="AB58">
        <v>8900</v>
      </c>
      <c r="AC58">
        <v>4113940</v>
      </c>
      <c r="AD58" t="s">
        <v>1014</v>
      </c>
      <c r="AE58">
        <v>4113940</v>
      </c>
      <c r="AF58">
        <v>1394</v>
      </c>
      <c r="AG58" s="1860">
        <v>38869</v>
      </c>
      <c r="AH58" s="1860">
        <v>523456</v>
      </c>
      <c r="AI58" t="s">
        <v>775</v>
      </c>
      <c r="AJ58" t="s">
        <v>775</v>
      </c>
      <c r="AK58" t="s">
        <v>833</v>
      </c>
      <c r="AN58" t="str">
        <f t="shared" si="0"/>
        <v>4110557NULL</v>
      </c>
      <c r="AO58" t="str">
        <f t="shared" si="1"/>
        <v>4110557NULL</v>
      </c>
      <c r="AP58" s="1758" t="s">
        <v>774</v>
      </c>
      <c r="AQ58" s="1759">
        <v>4110557</v>
      </c>
      <c r="AR58" s="1758" t="s">
        <v>775</v>
      </c>
      <c r="AS58" s="1758">
        <v>24900</v>
      </c>
      <c r="AT58" s="1759">
        <v>24900</v>
      </c>
      <c r="AU58" s="1758" t="s">
        <v>775</v>
      </c>
      <c r="AV58" s="1758">
        <v>0</v>
      </c>
      <c r="AW58" s="1758" t="s">
        <v>775</v>
      </c>
      <c r="AX58" s="1758" t="s">
        <v>775</v>
      </c>
      <c r="AY58" s="1758" t="s">
        <v>775</v>
      </c>
      <c r="AZ58" s="1758" t="s">
        <v>775</v>
      </c>
      <c r="BA58" s="1758" t="s">
        <v>775</v>
      </c>
      <c r="BB58" s="1758" t="s">
        <v>775</v>
      </c>
      <c r="BC58" t="s">
        <v>775</v>
      </c>
      <c r="BD58" t="s">
        <v>775</v>
      </c>
    </row>
    <row r="59" spans="1:56" ht="12" customHeight="1">
      <c r="A59" t="str">
        <f>IF(AND(_C511511&gt;0,_C000760&gt;0),"Correct",IF(AND(_C511511=0,_C000760=0),"Correct","Error"))</f>
        <v>Correct</v>
      </c>
      <c r="B59" s="1510" t="s">
        <v>1135</v>
      </c>
      <c r="C59" t="s">
        <v>192</v>
      </c>
      <c r="D59" s="1501">
        <f>Schedule_G!B115</f>
        <v>89</v>
      </c>
      <c r="E59" s="1501">
        <f>Schedule_G!C115</f>
        <v>0</v>
      </c>
      <c r="F59" s="1501" t="str">
        <f>Schedule_G!D115</f>
        <v>Medical Director</v>
      </c>
      <c r="G59" s="1501">
        <f>Schedule_G!E115</f>
        <v>5115.11</v>
      </c>
      <c r="H59" s="1501"/>
      <c r="I59" s="1501"/>
      <c r="J59" s="1501"/>
      <c r="K59" s="1501"/>
      <c r="L59" s="1501"/>
      <c r="M59" s="1501"/>
      <c r="N59" s="1501"/>
      <c r="O59" s="1501"/>
      <c r="P59" s="1501"/>
      <c r="Q59" s="1501"/>
      <c r="R59" s="1501"/>
      <c r="S59" s="1501"/>
      <c r="T59" s="1501"/>
      <c r="U59" s="1501"/>
      <c r="V59" s="1501"/>
      <c r="W59" s="1501"/>
      <c r="AB59">
        <v>5000</v>
      </c>
      <c r="AC59">
        <v>4113981</v>
      </c>
      <c r="AD59" t="s">
        <v>1014</v>
      </c>
      <c r="AE59">
        <v>4113981</v>
      </c>
      <c r="AF59">
        <v>1398</v>
      </c>
      <c r="AG59" s="1860">
        <v>38996</v>
      </c>
      <c r="AH59" s="1860">
        <v>523456</v>
      </c>
      <c r="AI59" t="s">
        <v>775</v>
      </c>
      <c r="AJ59" t="s">
        <v>775</v>
      </c>
      <c r="AK59" t="s">
        <v>834</v>
      </c>
      <c r="AN59" t="str">
        <f t="shared" si="0"/>
        <v>4110540NULL</v>
      </c>
      <c r="AO59" t="str">
        <f t="shared" si="1"/>
        <v>4110540NULL</v>
      </c>
      <c r="AP59" s="1758" t="s">
        <v>774</v>
      </c>
      <c r="AQ59" s="1759">
        <v>4110540</v>
      </c>
      <c r="AR59" s="1758" t="s">
        <v>775</v>
      </c>
      <c r="AS59" s="1758">
        <v>40040</v>
      </c>
      <c r="AT59" s="1760">
        <v>40040</v>
      </c>
      <c r="AU59" s="1758" t="s">
        <v>775</v>
      </c>
      <c r="AV59" s="1758">
        <v>0</v>
      </c>
      <c r="AW59" s="1758" t="s">
        <v>775</v>
      </c>
      <c r="AX59" s="1758" t="s">
        <v>775</v>
      </c>
      <c r="AY59" s="1758" t="s">
        <v>775</v>
      </c>
      <c r="AZ59" s="1758" t="s">
        <v>775</v>
      </c>
      <c r="BA59" s="1758" t="s">
        <v>775</v>
      </c>
      <c r="BB59" s="1758" t="s">
        <v>775</v>
      </c>
      <c r="BC59" t="s">
        <v>775</v>
      </c>
      <c r="BD59" t="s">
        <v>775</v>
      </c>
    </row>
    <row r="60" spans="1:56" ht="12" customHeight="1">
      <c r="A60" t="str">
        <f>IF(AND(_C511512&gt;0,_C000768&gt;0),"Correct",IF(AND(_C511512=0,_C000768=0),"Correct","Error"))</f>
        <v>Correct</v>
      </c>
      <c r="B60" s="1510" t="s">
        <v>1135</v>
      </c>
      <c r="C60" t="s">
        <v>192</v>
      </c>
      <c r="D60" s="1501">
        <f>Schedule_G!B116</f>
        <v>90</v>
      </c>
      <c r="E60" s="1501">
        <f>Schedule_G!C116</f>
        <v>0</v>
      </c>
      <c r="F60" s="1501" t="str">
        <f>Schedule_G!D116</f>
        <v>Pharmaceutical</v>
      </c>
      <c r="G60" s="1501">
        <f>Schedule_G!E116</f>
        <v>5115.12</v>
      </c>
      <c r="H60" s="1501"/>
      <c r="I60" s="1501"/>
      <c r="J60" s="1501"/>
      <c r="K60" s="1501"/>
      <c r="L60" s="1501"/>
      <c r="M60" s="1501"/>
      <c r="N60" s="1501"/>
      <c r="O60" s="1501"/>
      <c r="P60" s="1501"/>
      <c r="Q60" s="1501"/>
      <c r="R60" s="1501"/>
      <c r="S60" s="1501"/>
      <c r="T60" s="1501"/>
      <c r="U60" s="1501"/>
      <c r="V60" s="1501"/>
      <c r="W60" s="1501"/>
      <c r="AB60">
        <v>16100</v>
      </c>
      <c r="AC60">
        <v>4114039</v>
      </c>
      <c r="AD60" t="s">
        <v>1014</v>
      </c>
      <c r="AE60">
        <v>4114039</v>
      </c>
      <c r="AF60">
        <v>1403</v>
      </c>
      <c r="AG60" s="1860">
        <v>39173</v>
      </c>
      <c r="AH60" s="1860">
        <v>523456</v>
      </c>
      <c r="AI60" t="s">
        <v>775</v>
      </c>
      <c r="AJ60" t="s">
        <v>775</v>
      </c>
      <c r="AK60" t="s">
        <v>835</v>
      </c>
      <c r="AN60" t="str">
        <f t="shared" si="0"/>
        <v>4110524NULL</v>
      </c>
      <c r="AO60" t="str">
        <f t="shared" si="1"/>
        <v>4110524NULL</v>
      </c>
      <c r="AP60" s="1758" t="s">
        <v>774</v>
      </c>
      <c r="AQ60" s="1759">
        <v>4110524</v>
      </c>
      <c r="AR60" s="1758" t="s">
        <v>775</v>
      </c>
      <c r="AS60" s="1758">
        <v>32400</v>
      </c>
      <c r="AT60" s="1760">
        <v>32400</v>
      </c>
      <c r="AU60" s="1758" t="s">
        <v>775</v>
      </c>
      <c r="AV60" s="1758">
        <v>0</v>
      </c>
      <c r="AW60" s="1758" t="s">
        <v>775</v>
      </c>
      <c r="AX60" s="1758" t="s">
        <v>775</v>
      </c>
      <c r="AY60" s="1758" t="s">
        <v>775</v>
      </c>
      <c r="AZ60" s="1758" t="s">
        <v>775</v>
      </c>
      <c r="BA60" s="1758" t="s">
        <v>775</v>
      </c>
      <c r="BB60" s="1758" t="s">
        <v>775</v>
      </c>
      <c r="BC60" t="s">
        <v>775</v>
      </c>
      <c r="BD60" t="s">
        <v>775</v>
      </c>
    </row>
    <row r="61" spans="1:56" ht="12" customHeight="1">
      <c r="A61" t="str">
        <f>IF(AND(_C511513&gt;0,_C000776&gt;0),"Correct",IF(AND(_C511513=0,_C000776=0),"Correct","Error"))</f>
        <v>Correct</v>
      </c>
      <c r="B61" s="1510" t="s">
        <v>1135</v>
      </c>
      <c r="C61" t="s">
        <v>192</v>
      </c>
      <c r="D61" s="1501">
        <f>Schedule_G!B117</f>
        <v>91</v>
      </c>
      <c r="E61" s="1501">
        <f>Schedule_G!C117</f>
        <v>0</v>
      </c>
      <c r="F61" s="1501" t="str">
        <f>Schedule_G!D117</f>
        <v>Social Worker</v>
      </c>
      <c r="G61" s="1501">
        <f>Schedule_G!E117</f>
        <v>5115.13</v>
      </c>
      <c r="H61" s="1501"/>
      <c r="I61" s="1501"/>
      <c r="J61" s="1501"/>
      <c r="K61" s="1501"/>
      <c r="L61" s="1501"/>
      <c r="M61" s="1501"/>
      <c r="N61" s="1501"/>
      <c r="O61" s="1501"/>
      <c r="P61" s="1501"/>
      <c r="Q61" s="1501"/>
      <c r="R61" s="1501"/>
      <c r="S61" s="1501"/>
      <c r="T61" s="1501"/>
      <c r="U61" s="1501"/>
      <c r="V61" s="1501"/>
      <c r="W61" s="1501"/>
      <c r="AB61">
        <v>28000</v>
      </c>
      <c r="AC61">
        <v>4114054</v>
      </c>
      <c r="AD61" t="s">
        <v>1014</v>
      </c>
      <c r="AE61">
        <v>4114054</v>
      </c>
      <c r="AF61">
        <v>1405</v>
      </c>
      <c r="AG61" s="1860">
        <v>39173</v>
      </c>
      <c r="AH61" s="1860">
        <v>523456</v>
      </c>
      <c r="AI61" t="s">
        <v>775</v>
      </c>
      <c r="AJ61" t="s">
        <v>775</v>
      </c>
      <c r="AK61" t="s">
        <v>836</v>
      </c>
      <c r="AN61" t="str">
        <f t="shared" si="0"/>
        <v>4110516NULL</v>
      </c>
      <c r="AO61" t="str">
        <f t="shared" si="1"/>
        <v>4110516NULL</v>
      </c>
      <c r="AP61" s="1758" t="s">
        <v>774</v>
      </c>
      <c r="AQ61" s="1759">
        <v>4110516</v>
      </c>
      <c r="AR61" s="1758" t="s">
        <v>775</v>
      </c>
      <c r="AS61" s="1758">
        <v>23200</v>
      </c>
      <c r="AT61" s="1760">
        <v>23200</v>
      </c>
      <c r="AU61" s="1758" t="s">
        <v>775</v>
      </c>
      <c r="AV61" s="1758">
        <v>0</v>
      </c>
      <c r="AW61" s="1758" t="s">
        <v>775</v>
      </c>
      <c r="AX61" s="1758" t="s">
        <v>775</v>
      </c>
      <c r="AY61" s="1758" t="s">
        <v>775</v>
      </c>
      <c r="AZ61" s="1758" t="s">
        <v>775</v>
      </c>
      <c r="BA61" s="1758" t="s">
        <v>775</v>
      </c>
      <c r="BB61" s="1758" t="s">
        <v>775</v>
      </c>
      <c r="BC61" t="s">
        <v>775</v>
      </c>
      <c r="BD61" t="s">
        <v>775</v>
      </c>
    </row>
    <row r="62" spans="1:56" ht="12" customHeight="1">
      <c r="A62" t="str">
        <f>IF(AND(_C511514&gt;0,_C000784&gt;0),"Correct",IF(AND(_C511514=0,_C000784=0),"Correct","Error"))</f>
        <v>Correct</v>
      </c>
      <c r="B62" s="1510" t="s">
        <v>1135</v>
      </c>
      <c r="C62" t="s">
        <v>192</v>
      </c>
      <c r="D62" s="1501">
        <f>Schedule_G!B118</f>
        <v>92</v>
      </c>
      <c r="E62" s="1501">
        <f>Schedule_G!C118</f>
        <v>0</v>
      </c>
      <c r="F62" s="1501" t="str">
        <f>Schedule_G!D118</f>
        <v>Medical Records</v>
      </c>
      <c r="G62" s="1501">
        <f>Schedule_G!E118</f>
        <v>5115.14</v>
      </c>
      <c r="H62" s="1501"/>
      <c r="I62" s="1501"/>
      <c r="J62" s="1501"/>
      <c r="K62" s="1501"/>
      <c r="L62" s="1501"/>
      <c r="M62" s="1501"/>
      <c r="N62" s="1501"/>
      <c r="O62" s="1501"/>
      <c r="P62" s="1501"/>
      <c r="Q62" s="1501"/>
      <c r="R62" s="1501"/>
      <c r="S62" s="1501"/>
      <c r="T62" s="1501"/>
      <c r="U62" s="1501"/>
      <c r="V62" s="1501"/>
      <c r="W62" s="1501"/>
      <c r="AB62">
        <v>23900</v>
      </c>
      <c r="AC62">
        <v>4114594</v>
      </c>
      <c r="AD62" t="s">
        <v>1014</v>
      </c>
      <c r="AE62">
        <v>4114594</v>
      </c>
      <c r="AF62">
        <v>1459</v>
      </c>
      <c r="AG62" s="1860">
        <v>41365</v>
      </c>
      <c r="AH62" s="1860">
        <v>523456</v>
      </c>
      <c r="AI62" t="s">
        <v>775</v>
      </c>
      <c r="AJ62" t="s">
        <v>775</v>
      </c>
      <c r="AK62" t="s">
        <v>837</v>
      </c>
      <c r="AN62" t="str">
        <f t="shared" si="0"/>
        <v>4110433NULL</v>
      </c>
      <c r="AO62" t="str">
        <f t="shared" si="1"/>
        <v>4110433NULL</v>
      </c>
      <c r="AP62" s="1758" t="s">
        <v>774</v>
      </c>
      <c r="AQ62" s="1759">
        <v>4110433</v>
      </c>
      <c r="AR62" s="1758" t="s">
        <v>775</v>
      </c>
      <c r="AS62" s="1758">
        <v>34100</v>
      </c>
      <c r="AT62" s="1760">
        <v>34100</v>
      </c>
      <c r="AU62" s="1758" t="s">
        <v>775</v>
      </c>
      <c r="AV62" s="1758">
        <v>0</v>
      </c>
      <c r="AW62" s="1758" t="s">
        <v>775</v>
      </c>
      <c r="AX62" s="1758" t="s">
        <v>775</v>
      </c>
      <c r="AY62" s="1758" t="s">
        <v>775</v>
      </c>
      <c r="AZ62" s="1758" t="s">
        <v>775</v>
      </c>
      <c r="BA62" s="1758" t="s">
        <v>775</v>
      </c>
      <c r="BB62" s="1758" t="s">
        <v>775</v>
      </c>
      <c r="BC62" t="s">
        <v>775</v>
      </c>
      <c r="BD62" t="s">
        <v>775</v>
      </c>
    </row>
    <row r="63" spans="1:56" ht="12" customHeight="1">
      <c r="A63" t="str">
        <f>IF(AND(_C511525&gt;0,_C903668&gt;0),"Correct",IF(AND(_C511525=0,_C903668=0),"Correct","Error"))</f>
        <v>Correct</v>
      </c>
      <c r="B63" s="1510" t="s">
        <v>1135</v>
      </c>
      <c r="C63" t="s">
        <v>192</v>
      </c>
      <c r="D63" s="1501">
        <f>Schedule_G!B119</f>
        <v>93</v>
      </c>
      <c r="E63" s="1501">
        <f>Schedule_G!C119</f>
        <v>0</v>
      </c>
      <c r="F63" s="1501" t="str">
        <f>Schedule_G!D119</f>
        <v>Physician</v>
      </c>
      <c r="G63" s="1501">
        <f>Schedule_G!E119</f>
        <v>5115.25</v>
      </c>
      <c r="H63" s="1501"/>
      <c r="I63" s="1501"/>
      <c r="J63" s="1501"/>
      <c r="K63" s="1501"/>
      <c r="L63" s="1501"/>
      <c r="M63" s="1501"/>
      <c r="N63" s="1501"/>
      <c r="O63" s="1501"/>
      <c r="P63" s="1501"/>
      <c r="Q63" s="1501"/>
      <c r="R63" s="1501"/>
      <c r="S63" s="1501"/>
      <c r="T63" s="1501"/>
      <c r="U63" s="1501"/>
      <c r="V63" s="1501"/>
      <c r="W63" s="1501"/>
      <c r="AB63">
        <v>19300</v>
      </c>
      <c r="AC63">
        <v>4114602</v>
      </c>
      <c r="AD63" t="s">
        <v>1014</v>
      </c>
      <c r="AE63">
        <v>4114602</v>
      </c>
      <c r="AF63">
        <v>1460</v>
      </c>
      <c r="AG63" s="1860">
        <v>41365</v>
      </c>
      <c r="AH63" s="1860">
        <v>523456</v>
      </c>
      <c r="AI63" t="s">
        <v>775</v>
      </c>
      <c r="AJ63" t="s">
        <v>775</v>
      </c>
      <c r="AK63" t="s">
        <v>838</v>
      </c>
      <c r="AN63" t="str">
        <f t="shared" si="0"/>
        <v>4110441NULL</v>
      </c>
      <c r="AO63" t="str">
        <f t="shared" si="1"/>
        <v>4110441NULL</v>
      </c>
      <c r="AP63" s="1758" t="s">
        <v>774</v>
      </c>
      <c r="AQ63" s="1759">
        <v>4110441</v>
      </c>
      <c r="AR63" s="1758" t="s">
        <v>775</v>
      </c>
      <c r="AS63" s="1758">
        <v>39980</v>
      </c>
      <c r="AT63" s="1760">
        <v>39980</v>
      </c>
      <c r="AU63" s="1758" t="s">
        <v>775</v>
      </c>
      <c r="AV63" s="1758">
        <v>0</v>
      </c>
      <c r="AW63" s="1758" t="s">
        <v>775</v>
      </c>
      <c r="AX63" s="1758" t="s">
        <v>775</v>
      </c>
      <c r="AY63" s="1758" t="s">
        <v>775</v>
      </c>
      <c r="AZ63" s="1758" t="s">
        <v>775</v>
      </c>
      <c r="BA63" s="1758" t="s">
        <v>775</v>
      </c>
      <c r="BB63" s="1758" t="s">
        <v>775</v>
      </c>
      <c r="BC63" t="s">
        <v>775</v>
      </c>
      <c r="BD63" t="s">
        <v>775</v>
      </c>
    </row>
    <row r="64" spans="1:56" ht="12" customHeight="1">
      <c r="A64" t="str">
        <f>IF(AND(_C511524&gt;0,_C001569&gt;0),"Correct",IF(AND(_C511524=0,_C001569=0),"Correct","Error"))</f>
        <v>Correct</v>
      </c>
      <c r="B64" s="1510" t="s">
        <v>1135</v>
      </c>
      <c r="C64" t="s">
        <v>192</v>
      </c>
      <c r="D64" s="1501">
        <f>Schedule_G!B120</f>
        <v>94</v>
      </c>
      <c r="E64" s="1501">
        <f>Schedule_G!C120</f>
        <v>0</v>
      </c>
      <c r="F64" s="1501" t="str">
        <f>Schedule_G!D120</f>
        <v>Other           (Attach Schedule)</v>
      </c>
      <c r="G64" s="1501">
        <f>Schedule_G!E120</f>
        <v>5115.24</v>
      </c>
      <c r="H64" s="1501"/>
      <c r="I64" s="1501"/>
      <c r="J64" s="1501"/>
      <c r="K64" s="1501"/>
      <c r="L64" s="1501"/>
      <c r="M64" s="1501"/>
      <c r="N64" s="1501"/>
      <c r="O64" s="1501"/>
      <c r="P64" s="1501"/>
      <c r="Q64" s="1501"/>
      <c r="R64" s="1501"/>
      <c r="S64" s="1501"/>
      <c r="T64" s="1501"/>
      <c r="U64" s="1501"/>
      <c r="V64" s="1501"/>
      <c r="W64" s="1501"/>
      <c r="AB64">
        <v>25060</v>
      </c>
      <c r="AC64">
        <v>4115031</v>
      </c>
      <c r="AD64" t="s">
        <v>1014</v>
      </c>
      <c r="AE64">
        <v>4115031</v>
      </c>
      <c r="AF64">
        <v>1503</v>
      </c>
      <c r="AG64" s="1860">
        <v>42036</v>
      </c>
      <c r="AH64" s="1860">
        <v>523456</v>
      </c>
      <c r="AI64" t="s">
        <v>775</v>
      </c>
      <c r="AJ64" t="s">
        <v>775</v>
      </c>
      <c r="AK64" t="s">
        <v>839</v>
      </c>
      <c r="AN64" t="str">
        <f t="shared" si="0"/>
        <v>4110458NULL</v>
      </c>
      <c r="AO64" t="str">
        <f t="shared" si="1"/>
        <v>4110458NULL</v>
      </c>
      <c r="AP64" s="1758" t="s">
        <v>774</v>
      </c>
      <c r="AQ64" s="1759">
        <v>4110458</v>
      </c>
      <c r="AR64" s="1758" t="s">
        <v>775</v>
      </c>
      <c r="AS64" s="1758">
        <v>8400</v>
      </c>
      <c r="AT64" s="1760">
        <v>8400</v>
      </c>
      <c r="AU64" s="1758" t="s">
        <v>775</v>
      </c>
      <c r="AV64" s="1758">
        <v>0</v>
      </c>
      <c r="AW64" s="1758" t="s">
        <v>775</v>
      </c>
      <c r="AX64" s="1758" t="s">
        <v>775</v>
      </c>
      <c r="AY64" s="1758" t="s">
        <v>775</v>
      </c>
      <c r="AZ64" s="1758" t="s">
        <v>775</v>
      </c>
      <c r="BA64" s="1758" t="s">
        <v>775</v>
      </c>
      <c r="BB64" s="1758" t="s">
        <v>775</v>
      </c>
      <c r="BC64" t="s">
        <v>775</v>
      </c>
      <c r="BD64" t="s">
        <v>775</v>
      </c>
    </row>
    <row r="65" spans="1:56" ht="12" customHeight="1">
      <c r="A65" t="str">
        <f>IF(AND(_C005115&gt;0,_C000816&gt;0),"Correct",IF(AND(_C005115=0,_C000816=0),"Correct","Error"))</f>
        <v>Correct</v>
      </c>
      <c r="B65" s="1510" t="s">
        <v>1135</v>
      </c>
      <c r="C65" t="s">
        <v>192</v>
      </c>
      <c r="D65" s="1501">
        <f>Schedule_G!B121</f>
        <v>95</v>
      </c>
      <c r="E65" s="1501" t="str">
        <f>Schedule_G!C121</f>
        <v>TOTAL ALLOCATED SERVICES</v>
      </c>
      <c r="F65" s="1501">
        <f>Schedule_G!D121</f>
        <v>0</v>
      </c>
      <c r="G65" s="1501">
        <f>Schedule_G!E121</f>
        <v>5115</v>
      </c>
      <c r="H65" s="1501"/>
      <c r="I65" s="1501"/>
      <c r="J65" s="1501"/>
      <c r="K65" s="1501"/>
      <c r="L65" s="1501"/>
      <c r="M65" s="1501"/>
      <c r="N65" s="1501"/>
      <c r="O65" s="1501"/>
      <c r="P65" s="1501"/>
      <c r="Q65" s="1501"/>
      <c r="R65" s="1501"/>
      <c r="S65" s="1501"/>
      <c r="T65" s="1501"/>
      <c r="U65" s="1501"/>
      <c r="V65" s="1501"/>
      <c r="W65" s="1501"/>
      <c r="AB65">
        <v>39950</v>
      </c>
      <c r="AC65">
        <v>4115041</v>
      </c>
      <c r="AD65" t="s">
        <v>1014</v>
      </c>
      <c r="AE65">
        <v>4115041</v>
      </c>
      <c r="AF65">
        <v>1504</v>
      </c>
      <c r="AG65" s="1860">
        <v>42036</v>
      </c>
      <c r="AH65" s="1860">
        <v>523456</v>
      </c>
      <c r="AI65" t="s">
        <v>775</v>
      </c>
      <c r="AJ65" t="s">
        <v>775</v>
      </c>
      <c r="AK65" t="s">
        <v>840</v>
      </c>
      <c r="AN65" t="str">
        <f t="shared" si="0"/>
        <v>4110474NULL</v>
      </c>
      <c r="AO65" t="str">
        <f t="shared" si="1"/>
        <v>4110474NULL</v>
      </c>
      <c r="AP65" s="1758" t="s">
        <v>774</v>
      </c>
      <c r="AQ65" s="1759">
        <v>4110474</v>
      </c>
      <c r="AR65" s="1758" t="s">
        <v>775</v>
      </c>
      <c r="AS65" s="1758">
        <v>5900</v>
      </c>
      <c r="AT65" s="1760">
        <v>5900</v>
      </c>
      <c r="AU65" s="1758" t="s">
        <v>775</v>
      </c>
      <c r="AV65" s="1758">
        <v>0</v>
      </c>
      <c r="AW65" s="1758" t="s">
        <v>775</v>
      </c>
      <c r="AX65" s="1758" t="s">
        <v>775</v>
      </c>
      <c r="AY65" s="1758" t="s">
        <v>775</v>
      </c>
      <c r="AZ65" s="1758" t="s">
        <v>775</v>
      </c>
      <c r="BA65" s="1758" t="s">
        <v>775</v>
      </c>
      <c r="BB65" s="1758" t="s">
        <v>775</v>
      </c>
      <c r="BC65" t="s">
        <v>775</v>
      </c>
      <c r="BD65" t="s">
        <v>775</v>
      </c>
    </row>
    <row r="66" spans="1:56" ht="12" customHeight="1">
      <c r="A66" t="str">
        <f>IF(AND(_C009900&gt;0,_C800521&gt;0),"Correct",IF(AND(_C009900=0,_C800521=0),"Correct","Error"))</f>
        <v>Correct</v>
      </c>
      <c r="B66" s="1510" t="s">
        <v>1135</v>
      </c>
      <c r="C66" t="s">
        <v>192</v>
      </c>
      <c r="D66" s="1501">
        <f>Schedule_G!B123</f>
        <v>97</v>
      </c>
      <c r="E66" s="1501" t="str">
        <f>Schedule_G!C123</f>
        <v>TOTAL NURSING </v>
      </c>
      <c r="F66" s="1501">
        <f>Schedule_G!D123</f>
        <v>0</v>
      </c>
      <c r="G66" s="1501">
        <f>Schedule_G!E123</f>
        <v>9900</v>
      </c>
      <c r="H66" s="1501"/>
      <c r="I66" s="1501"/>
      <c r="J66" s="1501"/>
      <c r="K66" s="1501"/>
      <c r="L66" s="1501"/>
      <c r="M66" s="1501"/>
      <c r="N66" s="1501"/>
      <c r="O66" s="1501"/>
      <c r="P66" s="1501"/>
      <c r="Q66" s="1501"/>
      <c r="R66" s="1501"/>
      <c r="S66" s="1501"/>
      <c r="T66" s="1501"/>
      <c r="U66" s="1501"/>
      <c r="V66" s="1501"/>
      <c r="W66" s="1501"/>
      <c r="AB66">
        <v>40490</v>
      </c>
      <c r="AC66">
        <v>4115051</v>
      </c>
      <c r="AD66" t="s">
        <v>1014</v>
      </c>
      <c r="AE66">
        <v>4115051</v>
      </c>
      <c r="AF66">
        <v>1505</v>
      </c>
      <c r="AG66" s="1860">
        <v>42027</v>
      </c>
      <c r="AH66" s="1860">
        <v>523456</v>
      </c>
      <c r="AI66" t="s">
        <v>775</v>
      </c>
      <c r="AJ66" t="s">
        <v>775</v>
      </c>
      <c r="AK66" t="s">
        <v>841</v>
      </c>
      <c r="AN66" t="str">
        <f t="shared" si="0"/>
        <v>4110649NULL</v>
      </c>
      <c r="AO66" t="str">
        <f t="shared" si="1"/>
        <v>4110649NULL</v>
      </c>
      <c r="AP66" s="1758" t="s">
        <v>774</v>
      </c>
      <c r="AQ66" s="1759">
        <v>4110649</v>
      </c>
      <c r="AR66" s="1758" t="s">
        <v>775</v>
      </c>
      <c r="AS66" s="1758">
        <v>2100</v>
      </c>
      <c r="AT66" s="1760">
        <v>2100</v>
      </c>
      <c r="AU66" s="1758" t="s">
        <v>775</v>
      </c>
      <c r="AV66" s="1758">
        <v>0</v>
      </c>
      <c r="AW66" s="1758" t="s">
        <v>775</v>
      </c>
      <c r="AX66" s="1758" t="s">
        <v>775</v>
      </c>
      <c r="AY66" s="1758" t="s">
        <v>775</v>
      </c>
      <c r="AZ66" s="1758" t="s">
        <v>775</v>
      </c>
      <c r="BA66" s="1758" t="s">
        <v>775</v>
      </c>
      <c r="BB66" s="1758" t="s">
        <v>775</v>
      </c>
      <c r="BC66" t="s">
        <v>775</v>
      </c>
      <c r="BD66" t="s">
        <v>775</v>
      </c>
    </row>
    <row r="67" spans="1:56" ht="12" customHeight="1">
      <c r="A67" t="str">
        <f>IF(AND(_C005451&gt;0,_C000880&gt;0),"Correct",IF(AND(_C005451=0,_C000880=0),"Correct","Error"))</f>
        <v>Correct</v>
      </c>
      <c r="B67" s="1510" t="s">
        <v>1135</v>
      </c>
      <c r="C67" t="s">
        <v>192</v>
      </c>
      <c r="D67" s="1501">
        <f>Schedule_G!B129</f>
        <v>103</v>
      </c>
      <c r="E67" s="1501" t="str">
        <f>Schedule_G!C128</f>
        <v>LAUNDRY</v>
      </c>
      <c r="F67" s="1501" t="str">
        <f>Schedule_G!D129</f>
        <v>Salaries and Wages</v>
      </c>
      <c r="G67" s="1501">
        <f>Schedule_G!E129</f>
        <v>5451</v>
      </c>
      <c r="H67" s="1501"/>
      <c r="I67" s="1501"/>
      <c r="J67" s="1501"/>
      <c r="K67" s="1501"/>
      <c r="L67" s="1501"/>
      <c r="M67" s="1501"/>
      <c r="N67" s="1501"/>
      <c r="O67" s="1501"/>
      <c r="P67" s="1501"/>
      <c r="Q67" s="1501"/>
      <c r="R67" s="1501"/>
      <c r="S67" s="1501"/>
      <c r="T67" s="1501"/>
      <c r="U67" s="1501"/>
      <c r="V67" s="1501"/>
      <c r="W67" s="1501"/>
      <c r="AB67">
        <v>10800</v>
      </c>
      <c r="AC67">
        <v>4115061</v>
      </c>
      <c r="AD67" t="s">
        <v>1014</v>
      </c>
      <c r="AE67">
        <v>4115061</v>
      </c>
      <c r="AF67">
        <v>1506</v>
      </c>
      <c r="AG67" s="1860">
        <v>42036</v>
      </c>
      <c r="AH67" s="1860">
        <v>523456</v>
      </c>
      <c r="AI67" t="s">
        <v>775</v>
      </c>
      <c r="AJ67" t="s">
        <v>775</v>
      </c>
      <c r="AK67" t="s">
        <v>842</v>
      </c>
      <c r="AN67" t="str">
        <f t="shared" si="0"/>
        <v>41125381043234180</v>
      </c>
      <c r="AO67" t="str">
        <f t="shared" si="1"/>
        <v>4112538100100500</v>
      </c>
      <c r="AP67" s="1758" t="s">
        <v>774</v>
      </c>
      <c r="AQ67" s="1759">
        <v>4112538</v>
      </c>
      <c r="AR67" s="1758" t="s">
        <v>775</v>
      </c>
      <c r="AS67" s="1758">
        <v>7000</v>
      </c>
      <c r="AT67" s="1760">
        <v>7000</v>
      </c>
      <c r="AU67" s="1758">
        <v>1043234180</v>
      </c>
      <c r="AV67" s="1758">
        <v>1043234180</v>
      </c>
      <c r="AW67" s="1758">
        <v>100100500</v>
      </c>
      <c r="AX67" s="1758" t="s">
        <v>775</v>
      </c>
      <c r="AY67" s="1758" t="s">
        <v>775</v>
      </c>
      <c r="AZ67" s="1758" t="s">
        <v>775</v>
      </c>
      <c r="BA67" s="1758" t="s">
        <v>775</v>
      </c>
      <c r="BB67" s="1758" t="s">
        <v>775</v>
      </c>
      <c r="BC67" t="s">
        <v>775</v>
      </c>
      <c r="BD67" t="s">
        <v>775</v>
      </c>
    </row>
    <row r="68" spans="1:56" ht="12" customHeight="1">
      <c r="A68" t="str">
        <f>IF(AND(_C005471&gt;0,_C000892&gt;0),"Correct",IF(AND(_C005471=0,_C000892=0),"Correct","Error"))</f>
        <v>Correct</v>
      </c>
      <c r="B68" s="1510" t="s">
        <v>1135</v>
      </c>
      <c r="C68" t="s">
        <v>192</v>
      </c>
      <c r="D68" s="1501">
        <f>Schedule_G!B138</f>
        <v>112</v>
      </c>
      <c r="E68" s="1501" t="str">
        <f>Schedule_G!C137</f>
        <v>DIETARY</v>
      </c>
      <c r="F68" s="1501" t="str">
        <f>Schedule_G!D138</f>
        <v>Salaries and Wages</v>
      </c>
      <c r="G68" s="1501">
        <f>Schedule_G!E138</f>
        <v>5471</v>
      </c>
      <c r="H68" s="1501"/>
      <c r="I68" s="1501"/>
      <c r="J68" s="1501"/>
      <c r="K68" s="1501"/>
      <c r="L68" s="1501"/>
      <c r="M68" s="1501"/>
      <c r="N68" s="1501"/>
      <c r="O68" s="1501"/>
      <c r="P68" s="1501"/>
      <c r="Q68" s="1501"/>
      <c r="R68" s="1501"/>
      <c r="S68" s="1501"/>
      <c r="T68" s="1501"/>
      <c r="U68" s="1501"/>
      <c r="V68" s="1501"/>
      <c r="W68" s="1501"/>
      <c r="AB68">
        <v>40470</v>
      </c>
      <c r="AC68">
        <v>4115081</v>
      </c>
      <c r="AD68" t="s">
        <v>1014</v>
      </c>
      <c r="AE68">
        <v>4115081</v>
      </c>
      <c r="AF68">
        <v>1508</v>
      </c>
      <c r="AG68" s="1860">
        <v>42095</v>
      </c>
      <c r="AH68" s="1860">
        <v>523456</v>
      </c>
      <c r="AI68" t="s">
        <v>775</v>
      </c>
      <c r="AJ68" t="s">
        <v>775</v>
      </c>
      <c r="AK68" t="s">
        <v>843</v>
      </c>
      <c r="AN68" t="str">
        <f t="shared" si="0"/>
        <v>41125201679551808</v>
      </c>
      <c r="AO68" t="str">
        <f t="shared" si="1"/>
        <v>4112520104520200</v>
      </c>
      <c r="AP68" s="1758" t="s">
        <v>774</v>
      </c>
      <c r="AQ68" s="1759">
        <v>4112520</v>
      </c>
      <c r="AR68" s="1758" t="s">
        <v>775</v>
      </c>
      <c r="AS68" s="1758">
        <v>16100</v>
      </c>
      <c r="AT68" s="1760">
        <v>16100</v>
      </c>
      <c r="AU68" s="1758">
        <v>1679551808</v>
      </c>
      <c r="AV68" s="1758">
        <v>1679551808</v>
      </c>
      <c r="AW68" s="1758">
        <v>104520200</v>
      </c>
      <c r="AX68" s="1758" t="s">
        <v>775</v>
      </c>
      <c r="AY68" s="1758" t="s">
        <v>775</v>
      </c>
      <c r="AZ68" s="1758" t="s">
        <v>775</v>
      </c>
      <c r="BA68" s="1758" t="s">
        <v>775</v>
      </c>
      <c r="BB68" s="1758" t="s">
        <v>775</v>
      </c>
      <c r="BC68" t="s">
        <v>775</v>
      </c>
      <c r="BD68" t="s">
        <v>775</v>
      </c>
    </row>
    <row r="69" spans="1:56" ht="12" customHeight="1">
      <c r="A69" t="str">
        <f>IF(AND(_C541140&gt;0,_C000820&gt;0),"Correct",IF(AND(_C541140=0,_C000820=0),"Correct","Error"))</f>
        <v>Correct</v>
      </c>
      <c r="B69" s="1510" t="s">
        <v>1135</v>
      </c>
      <c r="C69" t="s">
        <v>192</v>
      </c>
      <c r="D69" s="1501">
        <f>Schedule_G!B159</f>
        <v>124</v>
      </c>
      <c r="E69" s="1501">
        <f>Schedule_G!C159</f>
        <v>0</v>
      </c>
      <c r="F69" s="1501" t="str">
        <f>Schedule_G!D159</f>
        <v>Administrator</v>
      </c>
      <c r="G69" s="1501">
        <f>Schedule_G!E159</f>
        <v>5411.4</v>
      </c>
      <c r="H69" s="1501"/>
      <c r="I69" s="1501"/>
      <c r="J69" s="1501"/>
      <c r="K69" s="1501"/>
      <c r="L69" s="1501"/>
      <c r="M69" s="1501"/>
      <c r="N69" s="1501"/>
      <c r="O69" s="1501"/>
      <c r="P69" s="1501"/>
      <c r="Q69" s="1501"/>
      <c r="R69" s="1501"/>
      <c r="S69" s="1501"/>
      <c r="T69" s="1501"/>
      <c r="U69" s="1501"/>
      <c r="V69" s="1501"/>
      <c r="W69" s="1501"/>
      <c r="AB69">
        <v>40370</v>
      </c>
      <c r="AC69">
        <v>4115291</v>
      </c>
      <c r="AD69" t="s">
        <v>1014</v>
      </c>
      <c r="AE69">
        <v>4115291</v>
      </c>
      <c r="AF69">
        <v>1529</v>
      </c>
      <c r="AG69" s="1860">
        <v>42339</v>
      </c>
      <c r="AH69" s="1860">
        <v>523456</v>
      </c>
      <c r="AI69" t="s">
        <v>775</v>
      </c>
      <c r="AJ69" t="s">
        <v>775</v>
      </c>
      <c r="AK69" t="s">
        <v>844</v>
      </c>
      <c r="AN69" t="str">
        <f aca="true" t="shared" si="2" ref="AN69:AN132">AQ69&amp;AU69</f>
        <v>41133791710933999</v>
      </c>
      <c r="AO69" t="str">
        <f aca="true" t="shared" si="3" ref="AO69:AO132">AQ69&amp;AW69</f>
        <v>4113379101714800</v>
      </c>
      <c r="AP69" s="1758" t="s">
        <v>774</v>
      </c>
      <c r="AQ69" s="1759">
        <v>4113379</v>
      </c>
      <c r="AR69" s="1758" t="s">
        <v>775</v>
      </c>
      <c r="AS69" s="1758">
        <v>25060</v>
      </c>
      <c r="AT69" s="1760">
        <v>25060</v>
      </c>
      <c r="AU69" s="1758">
        <v>1710933999</v>
      </c>
      <c r="AV69" s="1758">
        <v>1710933999</v>
      </c>
      <c r="AW69" s="1758">
        <v>101714800</v>
      </c>
      <c r="AX69" s="1758" t="s">
        <v>775</v>
      </c>
      <c r="AY69" s="1758" t="s">
        <v>775</v>
      </c>
      <c r="AZ69" s="1758" t="s">
        <v>775</v>
      </c>
      <c r="BA69" s="1758" t="s">
        <v>775</v>
      </c>
      <c r="BB69" s="1758" t="s">
        <v>775</v>
      </c>
      <c r="BC69" t="s">
        <v>775</v>
      </c>
      <c r="BD69" t="s">
        <v>775</v>
      </c>
    </row>
    <row r="70" spans="1:56" ht="12" customHeight="1">
      <c r="A70" t="str">
        <f>IF(AND(_C541141&gt;0,_C000826&gt;0),"Correct",IF(AND(_C541141=0,_C000826=0),"Correct","Error"))</f>
        <v>Correct</v>
      </c>
      <c r="B70" s="1510" t="s">
        <v>1135</v>
      </c>
      <c r="C70" t="s">
        <v>192</v>
      </c>
      <c r="D70" s="1501">
        <f>Schedule_G!B160</f>
        <v>125</v>
      </c>
      <c r="E70" s="1501">
        <f>Schedule_G!C160</f>
        <v>0</v>
      </c>
      <c r="F70" s="1501" t="str">
        <f>Schedule_G!D160</f>
        <v>Assistant Administrator</v>
      </c>
      <c r="G70" s="1501">
        <f>Schedule_G!E160</f>
        <v>5411.41</v>
      </c>
      <c r="H70" s="1501"/>
      <c r="I70" s="1501"/>
      <c r="J70" s="1501"/>
      <c r="K70" s="1501"/>
      <c r="L70" s="1501"/>
      <c r="M70" s="1501"/>
      <c r="N70" s="1501"/>
      <c r="O70" s="1501"/>
      <c r="P70" s="1501"/>
      <c r="Q70" s="1501"/>
      <c r="R70" s="1501"/>
      <c r="S70" s="1501"/>
      <c r="T70" s="1501"/>
      <c r="U70" s="1501"/>
      <c r="V70" s="1501"/>
      <c r="W70" s="1501"/>
      <c r="AB70">
        <v>40590</v>
      </c>
      <c r="AC70">
        <v>4115301</v>
      </c>
      <c r="AD70" t="s">
        <v>1014</v>
      </c>
      <c r="AE70">
        <v>4115301</v>
      </c>
      <c r="AF70">
        <v>1530</v>
      </c>
      <c r="AG70" s="1860">
        <v>42339</v>
      </c>
      <c r="AH70" s="1860">
        <v>523456</v>
      </c>
      <c r="AI70" t="s">
        <v>775</v>
      </c>
      <c r="AJ70" t="s">
        <v>775</v>
      </c>
      <c r="AK70" t="s">
        <v>845</v>
      </c>
      <c r="AN70" t="str">
        <f t="shared" si="2"/>
        <v>41115221568402295</v>
      </c>
      <c r="AO70" t="str">
        <f t="shared" si="3"/>
        <v>4111522101335500</v>
      </c>
      <c r="AP70" s="1758" t="s">
        <v>774</v>
      </c>
      <c r="AQ70" s="1759">
        <v>4111522</v>
      </c>
      <c r="AR70" s="1758" t="s">
        <v>775</v>
      </c>
      <c r="AS70" s="1758">
        <v>10800</v>
      </c>
      <c r="AT70" s="1759">
        <v>10800</v>
      </c>
      <c r="AU70" s="1758">
        <v>1568402295</v>
      </c>
      <c r="AV70" s="1758">
        <v>1568402295</v>
      </c>
      <c r="AW70" s="1758">
        <v>101335500</v>
      </c>
      <c r="AX70" s="1758" t="s">
        <v>775</v>
      </c>
      <c r="AY70" s="1758" t="s">
        <v>775</v>
      </c>
      <c r="AZ70" s="1758" t="s">
        <v>775</v>
      </c>
      <c r="BA70" s="1758" t="s">
        <v>775</v>
      </c>
      <c r="BB70" s="1758" t="s">
        <v>775</v>
      </c>
      <c r="BC70" t="s">
        <v>775</v>
      </c>
      <c r="BD70" t="s">
        <v>775</v>
      </c>
    </row>
    <row r="71" spans="1:56" ht="12" customHeight="1">
      <c r="A71" t="str">
        <f>IF(AND(_C541142&gt;0&lt;_C000832&gt;0),"Correct",IF(AND(_C541142=0,_C000832=0),"Correct","Error"))</f>
        <v>Correct</v>
      </c>
      <c r="B71" s="1510" t="s">
        <v>1135</v>
      </c>
      <c r="C71" t="s">
        <v>192</v>
      </c>
      <c r="D71" s="1501">
        <f>Schedule_G!B161</f>
        <v>126</v>
      </c>
      <c r="E71" s="1501">
        <f>Schedule_G!C161</f>
        <v>0</v>
      </c>
      <c r="F71" s="1501" t="str">
        <f>Schedule_G!D161</f>
        <v>Administrator in Training</v>
      </c>
      <c r="G71" s="1501">
        <f>Schedule_G!E161</f>
        <v>5411.42</v>
      </c>
      <c r="H71" s="1501"/>
      <c r="I71" s="1501"/>
      <c r="J71" s="1501"/>
      <c r="K71" s="1501"/>
      <c r="L71" s="1501"/>
      <c r="M71" s="1501"/>
      <c r="N71" s="1501"/>
      <c r="O71" s="1501"/>
      <c r="P71" s="1501"/>
      <c r="Q71" s="1501"/>
      <c r="R71" s="1501"/>
      <c r="S71" s="1501"/>
      <c r="T71" s="1501"/>
      <c r="U71" s="1501"/>
      <c r="V71" s="1501"/>
      <c r="W71" s="1501"/>
      <c r="AB71">
        <v>17200</v>
      </c>
      <c r="AC71">
        <v>4115311</v>
      </c>
      <c r="AD71" t="s">
        <v>1014</v>
      </c>
      <c r="AE71">
        <v>4115311</v>
      </c>
      <c r="AF71">
        <v>1531</v>
      </c>
      <c r="AG71" s="1860">
        <v>42339</v>
      </c>
      <c r="AH71" s="1860">
        <v>523456</v>
      </c>
      <c r="AI71" t="s">
        <v>775</v>
      </c>
      <c r="AJ71" t="s">
        <v>775</v>
      </c>
      <c r="AK71" t="s">
        <v>846</v>
      </c>
      <c r="AN71" t="str">
        <f t="shared" si="2"/>
        <v>41115141982651758</v>
      </c>
      <c r="AO71" t="str">
        <f t="shared" si="3"/>
        <v>4111514102369100</v>
      </c>
      <c r="AP71" s="1758" t="s">
        <v>774</v>
      </c>
      <c r="AQ71" s="1759">
        <v>4111514</v>
      </c>
      <c r="AR71" s="1758" t="s">
        <v>775</v>
      </c>
      <c r="AS71" s="1758">
        <v>39950</v>
      </c>
      <c r="AT71" s="1759">
        <v>39950</v>
      </c>
      <c r="AU71" s="1758">
        <v>1982651758</v>
      </c>
      <c r="AV71" s="1758">
        <v>1982651758</v>
      </c>
      <c r="AW71" s="1758">
        <v>102369100</v>
      </c>
      <c r="AX71" s="1758" t="s">
        <v>775</v>
      </c>
      <c r="AY71" s="1758" t="s">
        <v>775</v>
      </c>
      <c r="AZ71" s="1758" t="s">
        <v>775</v>
      </c>
      <c r="BA71" s="1758" t="s">
        <v>775</v>
      </c>
      <c r="BB71" s="1758" t="s">
        <v>775</v>
      </c>
      <c r="BC71" t="s">
        <v>775</v>
      </c>
      <c r="BD71" t="s">
        <v>775</v>
      </c>
    </row>
    <row r="72" spans="1:56" ht="12" customHeight="1">
      <c r="A72" t="str">
        <f>IF(AND(_C541143&gt;0,_C000838&gt;0),"Correct",IF(AND(_C541143=0,_C000838=0),"Correct","Error"))</f>
        <v>Correct</v>
      </c>
      <c r="B72" s="1510" t="s">
        <v>1135</v>
      </c>
      <c r="C72" t="s">
        <v>192</v>
      </c>
      <c r="D72" s="1501">
        <f>Schedule_G!B162</f>
        <v>127</v>
      </c>
      <c r="E72" s="1501">
        <f>Schedule_G!C162</f>
        <v>0</v>
      </c>
      <c r="F72" s="1501" t="str">
        <f>Schedule_G!D162</f>
        <v>Supply/Ward Clerks</v>
      </c>
      <c r="G72" s="1501">
        <f>Schedule_G!E162</f>
        <v>5411.43</v>
      </c>
      <c r="H72" s="1501"/>
      <c r="I72" s="1501"/>
      <c r="J72" s="1501"/>
      <c r="K72" s="1501"/>
      <c r="L72" s="1501"/>
      <c r="M72" s="1501"/>
      <c r="N72" s="1501"/>
      <c r="O72" s="1501"/>
      <c r="P72" s="1501"/>
      <c r="Q72" s="1501"/>
      <c r="R72" s="1501"/>
      <c r="S72" s="1501"/>
      <c r="T72" s="1501"/>
      <c r="U72" s="1501"/>
      <c r="V72" s="1501"/>
      <c r="W72" s="1501"/>
      <c r="AB72">
        <v>41114</v>
      </c>
      <c r="AC72">
        <v>4115421</v>
      </c>
      <c r="AD72" t="s">
        <v>1014</v>
      </c>
      <c r="AE72">
        <v>4115421</v>
      </c>
      <c r="AF72">
        <v>1542</v>
      </c>
      <c r="AG72" s="1860">
        <v>43182</v>
      </c>
      <c r="AH72" s="1860">
        <v>523456</v>
      </c>
      <c r="AI72" t="s">
        <v>775</v>
      </c>
      <c r="AJ72" t="s">
        <v>775</v>
      </c>
      <c r="AK72" t="s">
        <v>847</v>
      </c>
      <c r="AN72" t="str">
        <f t="shared" si="2"/>
        <v>41113811245227131</v>
      </c>
      <c r="AO72" t="str">
        <f t="shared" si="3"/>
        <v>4111381100575600</v>
      </c>
      <c r="AP72" s="1758" t="s">
        <v>774</v>
      </c>
      <c r="AQ72" s="1759">
        <v>4111381</v>
      </c>
      <c r="AR72" s="1758" t="s">
        <v>775</v>
      </c>
      <c r="AS72" s="1758">
        <v>1600</v>
      </c>
      <c r="AT72" s="1759">
        <v>1600</v>
      </c>
      <c r="AU72" s="1758">
        <v>1245227131</v>
      </c>
      <c r="AV72" s="1758">
        <v>1245227131</v>
      </c>
      <c r="AW72" s="1758">
        <v>100575600</v>
      </c>
      <c r="AX72" s="1758" t="s">
        <v>775</v>
      </c>
      <c r="AY72" s="1758" t="s">
        <v>775</v>
      </c>
      <c r="AZ72" s="1758" t="s">
        <v>775</v>
      </c>
      <c r="BA72" s="1758" t="s">
        <v>775</v>
      </c>
      <c r="BB72" s="1758" t="s">
        <v>775</v>
      </c>
      <c r="BC72" t="s">
        <v>775</v>
      </c>
      <c r="BD72" t="s">
        <v>775</v>
      </c>
    </row>
    <row r="73" spans="1:56" ht="12" customHeight="1">
      <c r="A73" t="str">
        <f>IF(AND(_C541145&gt;0&lt;_C000850&gt;0),"Correct",IF(AND(_C541145=0,_C000850=0),"Correct","Error"))</f>
        <v>Correct</v>
      </c>
      <c r="B73" s="1510" t="s">
        <v>1135</v>
      </c>
      <c r="C73" t="s">
        <v>192</v>
      </c>
      <c r="D73" s="1501">
        <f>Schedule_G!B163</f>
        <v>128</v>
      </c>
      <c r="E73" s="1501">
        <f>Schedule_G!C163</f>
        <v>0</v>
      </c>
      <c r="F73" s="1501" t="str">
        <f>Schedule_G!D163</f>
        <v>Accounting/Bookkeeping *</v>
      </c>
      <c r="G73" s="1501">
        <f>Schedule_G!E163</f>
        <v>5411.45</v>
      </c>
      <c r="H73" s="1501"/>
      <c r="I73" s="1501"/>
      <c r="J73" s="1501"/>
      <c r="K73" s="1501"/>
      <c r="L73" s="1501"/>
      <c r="M73" s="1501"/>
      <c r="N73" s="1501"/>
      <c r="O73" s="1501"/>
      <c r="P73" s="1501"/>
      <c r="Q73" s="1501"/>
      <c r="R73" s="1501"/>
      <c r="S73" s="1501"/>
      <c r="T73" s="1501"/>
      <c r="U73" s="1501"/>
      <c r="V73" s="1501"/>
      <c r="W73" s="1501"/>
      <c r="AB73">
        <v>23200</v>
      </c>
      <c r="AC73">
        <v>4115711</v>
      </c>
      <c r="AD73" t="s">
        <v>1014</v>
      </c>
      <c r="AE73">
        <v>4115711</v>
      </c>
      <c r="AF73">
        <v>1571</v>
      </c>
      <c r="AG73" s="1860">
        <v>43111</v>
      </c>
      <c r="AH73" s="1860">
        <v>523456</v>
      </c>
      <c r="AI73" t="s">
        <v>775</v>
      </c>
      <c r="AJ73" t="s">
        <v>775</v>
      </c>
      <c r="AK73" t="s">
        <v>776</v>
      </c>
      <c r="AN73" t="str">
        <f t="shared" si="2"/>
        <v>41108471114968484</v>
      </c>
      <c r="AO73" t="str">
        <f t="shared" si="3"/>
        <v>4110847100284700</v>
      </c>
      <c r="AP73" s="1758" t="s">
        <v>774</v>
      </c>
      <c r="AQ73" s="1759">
        <v>4110847</v>
      </c>
      <c r="AR73" s="1758" t="s">
        <v>775</v>
      </c>
      <c r="AS73" s="1758">
        <v>25050</v>
      </c>
      <c r="AT73" s="1759">
        <v>25050</v>
      </c>
      <c r="AU73" s="1758">
        <v>1114968484</v>
      </c>
      <c r="AV73" s="1758">
        <v>1114968484</v>
      </c>
      <c r="AW73" s="1758">
        <v>100284700</v>
      </c>
      <c r="AX73" s="1758" t="s">
        <v>775</v>
      </c>
      <c r="AY73" s="1758" t="s">
        <v>775</v>
      </c>
      <c r="AZ73" s="1758" t="s">
        <v>775</v>
      </c>
      <c r="BA73" s="1758" t="s">
        <v>775</v>
      </c>
      <c r="BB73" s="1758" t="s">
        <v>775</v>
      </c>
      <c r="BC73" t="s">
        <v>775</v>
      </c>
      <c r="BD73" t="s">
        <v>775</v>
      </c>
    </row>
    <row r="74" spans="1:56" ht="12" customHeight="1">
      <c r="A74" t="str">
        <f>IF(AND(_C541146&gt;0,_C000856&gt;0),"Correct",IF(AND(_C541146=0,_C000856=0),"Correct","Error"))</f>
        <v>Correct</v>
      </c>
      <c r="B74" s="1510" t="s">
        <v>1135</v>
      </c>
      <c r="C74" t="s">
        <v>192</v>
      </c>
      <c r="D74" s="1501">
        <f>Schedule_G!B164</f>
        <v>129</v>
      </c>
      <c r="E74" s="1501">
        <f>Schedule_G!C164</f>
        <v>0</v>
      </c>
      <c r="F74" s="1501" t="str">
        <f>Schedule_G!D164</f>
        <v>Legal           (Attach Schedule)</v>
      </c>
      <c r="G74" s="1501">
        <f>Schedule_G!E164</f>
        <v>5411.46</v>
      </c>
      <c r="H74" s="1501"/>
      <c r="I74" s="1501"/>
      <c r="J74" s="1501"/>
      <c r="K74" s="1501"/>
      <c r="L74" s="1501"/>
      <c r="M74" s="1501"/>
      <c r="N74" s="1501"/>
      <c r="O74" s="1501"/>
      <c r="P74" s="1501"/>
      <c r="Q74" s="1501"/>
      <c r="R74" s="1501"/>
      <c r="S74" s="1501"/>
      <c r="T74" s="1501"/>
      <c r="U74" s="1501"/>
      <c r="V74" s="1501"/>
      <c r="W74" s="1501"/>
      <c r="AB74">
        <v>8300</v>
      </c>
      <c r="AC74">
        <v>4115851</v>
      </c>
      <c r="AD74" t="s">
        <v>1014</v>
      </c>
      <c r="AE74">
        <v>4115851</v>
      </c>
      <c r="AF74">
        <v>1585</v>
      </c>
      <c r="AG74" s="1860">
        <v>43466</v>
      </c>
      <c r="AH74" s="1860">
        <v>523456</v>
      </c>
      <c r="AI74" t="s">
        <v>775</v>
      </c>
      <c r="AJ74" t="s">
        <v>775</v>
      </c>
      <c r="AK74" t="s">
        <v>1069</v>
      </c>
      <c r="AN74" t="str">
        <f t="shared" si="2"/>
        <v>41144431639487515</v>
      </c>
      <c r="AO74" t="str">
        <f t="shared" si="3"/>
        <v>4114443200882400</v>
      </c>
      <c r="AP74" s="1758" t="s">
        <v>774</v>
      </c>
      <c r="AQ74" s="1759">
        <v>4114443</v>
      </c>
      <c r="AR74" s="1758" t="s">
        <v>775</v>
      </c>
      <c r="AS74" s="1758">
        <v>25050</v>
      </c>
      <c r="AT74" s="1759">
        <v>25050</v>
      </c>
      <c r="AU74" s="1758">
        <v>1639487515</v>
      </c>
      <c r="AV74" s="1758">
        <v>1639487515</v>
      </c>
      <c r="AW74" s="1758">
        <v>200882400</v>
      </c>
      <c r="AX74" s="1758" t="s">
        <v>775</v>
      </c>
      <c r="AY74" s="1758" t="s">
        <v>775</v>
      </c>
      <c r="AZ74" s="1758" t="s">
        <v>775</v>
      </c>
      <c r="BA74" s="1758" t="s">
        <v>775</v>
      </c>
      <c r="BB74" s="1758" t="s">
        <v>775</v>
      </c>
      <c r="BC74" t="s">
        <v>775</v>
      </c>
      <c r="BD74" t="s">
        <v>775</v>
      </c>
    </row>
    <row r="75" spans="1:56" ht="12" customHeight="1">
      <c r="A75" t="str">
        <f>IF(AND(_C541151&gt;0,_C000862&gt;0),"Correct",IF(AND(_C541151=0,_C000862=0),"Correct","Error"))</f>
        <v>Correct</v>
      </c>
      <c r="B75" s="1510" t="s">
        <v>1135</v>
      </c>
      <c r="C75" t="s">
        <v>192</v>
      </c>
      <c r="D75" s="1501">
        <f>Schedule_G!B165</f>
        <v>130</v>
      </c>
      <c r="E75" s="1501">
        <f>Schedule_G!C165</f>
        <v>0</v>
      </c>
      <c r="F75" s="1501" t="str">
        <f>Schedule_G!D165</f>
        <v>Other           (Attach Schedule)</v>
      </c>
      <c r="G75" s="1501">
        <f>Schedule_G!E165</f>
        <v>5411.51</v>
      </c>
      <c r="H75" s="1501"/>
      <c r="I75" s="1501"/>
      <c r="J75" s="1501"/>
      <c r="K75" s="1501"/>
      <c r="L75" s="1501"/>
      <c r="M75" s="1501"/>
      <c r="N75" s="1501"/>
      <c r="O75" s="1501"/>
      <c r="P75" s="1501"/>
      <c r="Q75" s="1501"/>
      <c r="R75" s="1501"/>
      <c r="S75" s="1501"/>
      <c r="T75" s="1501"/>
      <c r="U75" s="1501"/>
      <c r="V75" s="1501"/>
      <c r="W75" s="1501"/>
      <c r="AB75">
        <v>40130</v>
      </c>
      <c r="AC75">
        <v>4115871</v>
      </c>
      <c r="AD75" t="s">
        <v>1014</v>
      </c>
      <c r="AE75">
        <v>4115871</v>
      </c>
      <c r="AF75">
        <v>1587</v>
      </c>
      <c r="AG75" s="1860">
        <v>43466</v>
      </c>
      <c r="AH75" s="1860">
        <v>523456</v>
      </c>
      <c r="AI75" t="s">
        <v>775</v>
      </c>
      <c r="AJ75" t="s">
        <v>775</v>
      </c>
      <c r="AK75" t="s">
        <v>1070</v>
      </c>
      <c r="AN75" t="str">
        <f t="shared" si="2"/>
        <v>41112661114971728</v>
      </c>
      <c r="AO75" t="str">
        <f t="shared" si="3"/>
        <v>4111266100285100</v>
      </c>
      <c r="AP75" s="1758" t="s">
        <v>774</v>
      </c>
      <c r="AQ75" s="1759">
        <v>4111266</v>
      </c>
      <c r="AR75" s="1758" t="s">
        <v>775</v>
      </c>
      <c r="AS75" s="1758">
        <v>12100</v>
      </c>
      <c r="AT75" s="1759">
        <v>12100</v>
      </c>
      <c r="AU75" s="1758">
        <v>1114971728</v>
      </c>
      <c r="AV75" s="1758">
        <v>1114971728</v>
      </c>
      <c r="AW75" s="1758">
        <v>100285100</v>
      </c>
      <c r="AX75" s="1758" t="s">
        <v>775</v>
      </c>
      <c r="AY75" s="1758" t="s">
        <v>775</v>
      </c>
      <c r="AZ75" s="1758" t="s">
        <v>775</v>
      </c>
      <c r="BA75" s="1758" t="s">
        <v>775</v>
      </c>
      <c r="BB75" s="1758" t="s">
        <v>775</v>
      </c>
      <c r="BC75" t="s">
        <v>775</v>
      </c>
      <c r="BD75" t="s">
        <v>775</v>
      </c>
    </row>
    <row r="76" spans="1:56" ht="12" customHeight="1">
      <c r="A76" t="str">
        <f>IF(AND(_C007024&gt;0,_C000868&gt;0),"Correct",IF(AND(_C007024=0,_C000868=0),"Correct","Error"))</f>
        <v>Correct</v>
      </c>
      <c r="B76" s="1510" t="s">
        <v>1135</v>
      </c>
      <c r="C76" t="s">
        <v>192</v>
      </c>
      <c r="D76" s="1501">
        <f>Schedule_G!B166</f>
        <v>131</v>
      </c>
      <c r="E76" s="1501" t="str">
        <f>Schedule_G!C166</f>
        <v>TOTAL IN-HOUSE SALARIES</v>
      </c>
      <c r="F76" s="1501">
        <f>Schedule_G!D166</f>
        <v>0</v>
      </c>
      <c r="G76" s="1501">
        <f>Schedule_G!E166</f>
        <v>0</v>
      </c>
      <c r="H76" s="1501"/>
      <c r="I76" s="1501"/>
      <c r="J76" s="1501"/>
      <c r="K76" s="1501"/>
      <c r="L76" s="1501"/>
      <c r="M76" s="1501"/>
      <c r="N76" s="1501"/>
      <c r="O76" s="1501"/>
      <c r="P76" s="1501"/>
      <c r="Q76" s="1501"/>
      <c r="R76" s="1501"/>
      <c r="S76" s="1501"/>
      <c r="T76" s="1501"/>
      <c r="U76" s="1501"/>
      <c r="V76" s="1501"/>
      <c r="W76" s="1501"/>
      <c r="AB76">
        <v>31560</v>
      </c>
      <c r="AC76">
        <v>4176400</v>
      </c>
      <c r="AD76" t="s">
        <v>1014</v>
      </c>
      <c r="AE76">
        <v>4176400</v>
      </c>
      <c r="AF76">
        <v>764</v>
      </c>
      <c r="AG76" s="1860">
        <v>29891</v>
      </c>
      <c r="AH76" s="1860">
        <v>523456</v>
      </c>
      <c r="AI76" t="s">
        <v>775</v>
      </c>
      <c r="AJ76" t="s">
        <v>775</v>
      </c>
      <c r="AK76" t="s">
        <v>849</v>
      </c>
      <c r="AN76" t="str">
        <f t="shared" si="2"/>
        <v>4170601NULL</v>
      </c>
      <c r="AO76" t="str">
        <f t="shared" si="3"/>
        <v>4170601102682600</v>
      </c>
      <c r="AP76" s="1758" t="s">
        <v>774</v>
      </c>
      <c r="AQ76" s="1759">
        <v>4170601</v>
      </c>
      <c r="AR76" s="1758" t="s">
        <v>775</v>
      </c>
      <c r="AS76" s="1758">
        <v>8900</v>
      </c>
      <c r="AT76" s="1759">
        <v>8900</v>
      </c>
      <c r="AU76" s="1758" t="s">
        <v>775</v>
      </c>
      <c r="AV76" s="1758">
        <v>0</v>
      </c>
      <c r="AW76" s="1758">
        <v>102682600</v>
      </c>
      <c r="AX76" s="1758" t="s">
        <v>775</v>
      </c>
      <c r="AY76" s="1758" t="s">
        <v>775</v>
      </c>
      <c r="AZ76" s="1758" t="s">
        <v>775</v>
      </c>
      <c r="BA76" s="1758" t="s">
        <v>775</v>
      </c>
      <c r="BB76" s="1758" t="s">
        <v>775</v>
      </c>
      <c r="BC76" t="s">
        <v>775</v>
      </c>
      <c r="BD76" t="s">
        <v>775</v>
      </c>
    </row>
    <row r="77" spans="1:56" ht="12" customHeight="1">
      <c r="A77" t="str">
        <f>IF(AND(_C007023&gt;0,_C000872&gt;0),"Correct",IF(AND(_C007023=0,_C000872=0),"Correct","Error"))</f>
        <v>Correct</v>
      </c>
      <c r="B77" s="1510" t="s">
        <v>1135</v>
      </c>
      <c r="C77" t="s">
        <v>192</v>
      </c>
      <c r="D77" s="1501">
        <f>Schedule_G!B223</f>
        <v>177</v>
      </c>
      <c r="E77" s="1501" t="str">
        <f>Schedule_G!C223</f>
        <v>TOTAL ADMINISTRATIVE</v>
      </c>
      <c r="F77" s="1501">
        <f>Schedule_G!D223</f>
        <v>0</v>
      </c>
      <c r="G77" s="1501">
        <f>Schedule_G!E223</f>
        <v>5400</v>
      </c>
      <c r="H77" s="1501"/>
      <c r="I77" s="1501"/>
      <c r="J77" s="1501"/>
      <c r="K77" s="1501"/>
      <c r="L77" s="1501"/>
      <c r="M77" s="1501"/>
      <c r="N77" s="1501"/>
      <c r="O77" s="1501"/>
      <c r="P77" s="1501"/>
      <c r="Q77" s="1501"/>
      <c r="R77" s="1501"/>
      <c r="S77" s="1501"/>
      <c r="T77" s="1501"/>
      <c r="U77" s="1501"/>
      <c r="V77" s="1501"/>
      <c r="W77" s="1501"/>
      <c r="AB77">
        <v>40010</v>
      </c>
      <c r="AC77">
        <v>4210001</v>
      </c>
      <c r="AD77" t="s">
        <v>1014</v>
      </c>
      <c r="AE77">
        <v>4210001</v>
      </c>
      <c r="AF77">
        <v>8863</v>
      </c>
      <c r="AG77" s="1860">
        <v>38747</v>
      </c>
      <c r="AH77" s="1860">
        <v>523456</v>
      </c>
      <c r="AI77" t="s">
        <v>775</v>
      </c>
      <c r="AJ77" t="s">
        <v>775</v>
      </c>
      <c r="AK77" t="s">
        <v>850</v>
      </c>
      <c r="AN77" t="str">
        <f t="shared" si="2"/>
        <v>41138901386699932</v>
      </c>
      <c r="AO77" t="str">
        <f t="shared" si="3"/>
        <v>4113890100921000</v>
      </c>
      <c r="AP77" s="1758" t="s">
        <v>774</v>
      </c>
      <c r="AQ77" s="1759">
        <v>4113890</v>
      </c>
      <c r="AR77" s="1758" t="s">
        <v>775</v>
      </c>
      <c r="AS77" s="1758">
        <v>11100</v>
      </c>
      <c r="AT77" s="1759">
        <v>11100</v>
      </c>
      <c r="AU77" s="1758">
        <v>1386699932</v>
      </c>
      <c r="AV77" s="1758">
        <v>1386699932</v>
      </c>
      <c r="AW77" s="1758">
        <v>100921000</v>
      </c>
      <c r="AX77" s="1758" t="s">
        <v>775</v>
      </c>
      <c r="AY77" s="1758" t="s">
        <v>775</v>
      </c>
      <c r="AZ77" s="1758" t="s">
        <v>775</v>
      </c>
      <c r="BA77" s="1758" t="s">
        <v>775</v>
      </c>
      <c r="BB77" s="1758" t="s">
        <v>775</v>
      </c>
      <c r="BC77" t="s">
        <v>775</v>
      </c>
      <c r="BD77" t="s">
        <v>775</v>
      </c>
    </row>
    <row r="78" spans="1:56" ht="12" customHeight="1">
      <c r="A78" t="str">
        <f>IF(AND(_C005441&gt;0,_C000874&gt;0),"Correct",IF(AND(_C005441=0,_C000874=0),"Correct","Error"))</f>
        <v>Correct</v>
      </c>
      <c r="B78" s="1510" t="s">
        <v>1135</v>
      </c>
      <c r="C78" t="s">
        <v>192</v>
      </c>
      <c r="D78" s="1501">
        <f>Schedule_G!B236</f>
        <v>179</v>
      </c>
      <c r="E78" s="1501" t="str">
        <f>Schedule_G!C235</f>
        <v>MAINTENANCE</v>
      </c>
      <c r="F78" s="1501" t="str">
        <f>Schedule_G!D236</f>
        <v>Salaries and Wages</v>
      </c>
      <c r="G78" s="1501">
        <f>Schedule_G!E236</f>
        <v>5441</v>
      </c>
      <c r="H78" s="1501"/>
      <c r="I78" s="1501"/>
      <c r="J78" s="1501"/>
      <c r="K78" s="1501"/>
      <c r="L78" s="1501"/>
      <c r="M78" s="1501"/>
      <c r="N78" s="1501"/>
      <c r="O78" s="1501"/>
      <c r="P78" s="1501"/>
      <c r="Q78" s="1501"/>
      <c r="R78" s="1501"/>
      <c r="S78" s="1501"/>
      <c r="T78" s="1501"/>
      <c r="U78" s="1501"/>
      <c r="V78" s="1501"/>
      <c r="W78" s="1501"/>
      <c r="AB78">
        <v>1400</v>
      </c>
      <c r="AC78">
        <v>4107702</v>
      </c>
      <c r="AD78" t="s">
        <v>851</v>
      </c>
      <c r="AE78">
        <v>4107702</v>
      </c>
      <c r="AF78">
        <v>77</v>
      </c>
      <c r="AG78" s="1860">
        <v>27851</v>
      </c>
      <c r="AH78" s="1860">
        <v>523456</v>
      </c>
      <c r="AI78" t="s">
        <v>775</v>
      </c>
      <c r="AJ78" t="s">
        <v>775</v>
      </c>
      <c r="AK78" t="s">
        <v>852</v>
      </c>
      <c r="AN78" t="str">
        <f t="shared" si="2"/>
        <v>41140131548308406</v>
      </c>
      <c r="AO78" t="str">
        <f t="shared" si="3"/>
        <v>4114013100837800</v>
      </c>
      <c r="AP78" s="1758" t="s">
        <v>774</v>
      </c>
      <c r="AQ78" s="1759">
        <v>4114013</v>
      </c>
      <c r="AR78" s="1758" t="s">
        <v>775</v>
      </c>
      <c r="AS78" s="1758">
        <v>14400</v>
      </c>
      <c r="AT78" s="1759">
        <v>14400</v>
      </c>
      <c r="AU78" s="1758">
        <v>1548308406</v>
      </c>
      <c r="AV78" s="1758">
        <v>1548308406</v>
      </c>
      <c r="AW78" s="1758">
        <v>100837800</v>
      </c>
      <c r="AX78" s="1758" t="s">
        <v>775</v>
      </c>
      <c r="AY78" s="1758" t="s">
        <v>775</v>
      </c>
      <c r="AZ78" s="1758" t="s">
        <v>775</v>
      </c>
      <c r="BA78" s="1758" t="s">
        <v>775</v>
      </c>
      <c r="BB78" s="1758" t="s">
        <v>775</v>
      </c>
      <c r="BC78" t="s">
        <v>775</v>
      </c>
      <c r="BD78" t="s">
        <v>775</v>
      </c>
    </row>
    <row r="79" spans="1:56" ht="12" customHeight="1">
      <c r="A79" t="str">
        <f>IF(AND(_C005461&gt;0,_C000886&gt;0),"Correct",IF(AND(_C005461=0,_C000886=0),"Correct","Error"))</f>
        <v>Correct</v>
      </c>
      <c r="B79" s="1510" t="s">
        <v>1135</v>
      </c>
      <c r="C79" t="s">
        <v>192</v>
      </c>
      <c r="D79" s="1501">
        <f>Schedule_G!B245</f>
        <v>188</v>
      </c>
      <c r="E79" s="1501" t="str">
        <f>Schedule_G!C244</f>
        <v>HOUSEKEEPING</v>
      </c>
      <c r="F79" s="1501" t="str">
        <f>Schedule_G!D245</f>
        <v>Salaries and Wages</v>
      </c>
      <c r="G79" s="1501">
        <f>Schedule_G!E245</f>
        <v>5461</v>
      </c>
      <c r="H79" s="1501"/>
      <c r="I79" s="1501"/>
      <c r="J79" s="1501"/>
      <c r="K79" s="1501"/>
      <c r="L79" s="1501"/>
      <c r="M79" s="1501"/>
      <c r="N79" s="1501"/>
      <c r="O79" s="1501"/>
      <c r="P79" s="1501"/>
      <c r="Q79" s="1501"/>
      <c r="R79" s="1501"/>
      <c r="S79" s="1501"/>
      <c r="T79" s="1501"/>
      <c r="U79" s="1501"/>
      <c r="V79" s="1501"/>
      <c r="W79" s="1501"/>
      <c r="AB79">
        <v>40150</v>
      </c>
      <c r="AC79">
        <v>4110672</v>
      </c>
      <c r="AD79" t="s">
        <v>851</v>
      </c>
      <c r="AE79">
        <v>4110672</v>
      </c>
      <c r="AF79">
        <v>1067</v>
      </c>
      <c r="AG79" s="1860">
        <v>33396</v>
      </c>
      <c r="AH79" s="1860">
        <v>523456</v>
      </c>
      <c r="AI79" t="s">
        <v>775</v>
      </c>
      <c r="AJ79" t="s">
        <v>775</v>
      </c>
      <c r="AK79" t="s">
        <v>853</v>
      </c>
      <c r="AN79" t="str">
        <f t="shared" si="2"/>
        <v>41140471992843866</v>
      </c>
      <c r="AO79" t="str">
        <f t="shared" si="3"/>
        <v>4114047102403200</v>
      </c>
      <c r="AP79" s="1758" t="s">
        <v>774</v>
      </c>
      <c r="AQ79" s="1759">
        <v>4114047</v>
      </c>
      <c r="AR79" s="1758" t="s">
        <v>775</v>
      </c>
      <c r="AS79" s="1758">
        <v>12800</v>
      </c>
      <c r="AT79" s="1759">
        <v>12800</v>
      </c>
      <c r="AU79" s="1758">
        <v>1992843866</v>
      </c>
      <c r="AV79" s="1758">
        <v>1992843866</v>
      </c>
      <c r="AW79" s="1758">
        <v>102403200</v>
      </c>
      <c r="AX79" s="1758" t="s">
        <v>775</v>
      </c>
      <c r="AY79" s="1758" t="s">
        <v>775</v>
      </c>
      <c r="AZ79" s="1758" t="s">
        <v>775</v>
      </c>
      <c r="BA79" s="1758" t="s">
        <v>775</v>
      </c>
      <c r="BB79" s="1758" t="s">
        <v>775</v>
      </c>
      <c r="BC79" t="s">
        <v>775</v>
      </c>
      <c r="BD79" t="s">
        <v>775</v>
      </c>
    </row>
    <row r="80" spans="1:56" ht="12" customHeight="1">
      <c r="A80" t="str">
        <f>IF(AND(_C009902&gt;0,_C800510&gt;0),"Correct",IF(AND(_C009902=0,_C800510=0),"Correct","Error"))</f>
        <v>Correct</v>
      </c>
      <c r="B80" s="1510" t="s">
        <v>1135</v>
      </c>
      <c r="C80" t="s">
        <v>192</v>
      </c>
      <c r="D80" s="1501">
        <f>Schedule_G!B264</f>
        <v>207</v>
      </c>
      <c r="E80" s="1501" t="str">
        <f>Schedule_G!C264</f>
        <v>TOTAL INDIRECT CARE</v>
      </c>
      <c r="F80" s="1501">
        <f>Schedule_G!D264</f>
        <v>0</v>
      </c>
      <c r="G80" s="1501">
        <f>Schedule_G!E264</f>
        <v>9902</v>
      </c>
      <c r="H80" s="1501"/>
      <c r="I80" s="1501"/>
      <c r="J80" s="1501"/>
      <c r="K80" s="1501"/>
      <c r="L80" s="1501"/>
      <c r="M80" s="1501"/>
      <c r="N80" s="1501"/>
      <c r="O80" s="1501"/>
      <c r="P80" s="1501"/>
      <c r="Q80" s="1501"/>
      <c r="R80" s="1501"/>
      <c r="S80" s="1501"/>
      <c r="T80" s="1501"/>
      <c r="U80" s="1501"/>
      <c r="V80" s="1501"/>
      <c r="W80" s="1501"/>
      <c r="AB80">
        <v>35090</v>
      </c>
      <c r="AC80">
        <v>4110763</v>
      </c>
      <c r="AD80" t="s">
        <v>851</v>
      </c>
      <c r="AE80">
        <v>4110763</v>
      </c>
      <c r="AF80">
        <v>1076</v>
      </c>
      <c r="AG80" s="1860">
        <v>33390</v>
      </c>
      <c r="AH80" s="1860">
        <v>523456</v>
      </c>
      <c r="AI80" t="s">
        <v>775</v>
      </c>
      <c r="AJ80" t="s">
        <v>775</v>
      </c>
      <c r="AK80" t="s">
        <v>854</v>
      </c>
      <c r="AN80" t="str">
        <f t="shared" si="2"/>
        <v>41143511306834627</v>
      </c>
      <c r="AO80" t="str">
        <f t="shared" si="3"/>
        <v>4114351100719700</v>
      </c>
      <c r="AP80" s="1758" t="s">
        <v>774</v>
      </c>
      <c r="AQ80" s="1759">
        <v>4114351</v>
      </c>
      <c r="AR80" s="1758" t="s">
        <v>775</v>
      </c>
      <c r="AS80" s="1758">
        <v>40970</v>
      </c>
      <c r="AT80" s="1759">
        <v>40970</v>
      </c>
      <c r="AU80" s="1758">
        <v>1306834627</v>
      </c>
      <c r="AV80" s="1758">
        <v>1306834627</v>
      </c>
      <c r="AW80" s="1758">
        <v>100719700</v>
      </c>
      <c r="AX80" s="1758" t="s">
        <v>775</v>
      </c>
      <c r="AY80" s="1758" t="s">
        <v>775</v>
      </c>
      <c r="AZ80" s="1758" t="s">
        <v>775</v>
      </c>
      <c r="BA80" s="1758" t="s">
        <v>775</v>
      </c>
      <c r="BB80" s="1758" t="s">
        <v>775</v>
      </c>
      <c r="BC80" t="s">
        <v>775</v>
      </c>
      <c r="BD80" t="s">
        <v>775</v>
      </c>
    </row>
    <row r="81" spans="1:56" ht="12" customHeight="1">
      <c r="A81" t="str">
        <f>IF(AND(_C007022&gt;0,_C000904&gt;0),"Correct",IF(AND(_C007022=0,_C000904=0),"Correct","Error"))</f>
        <v>Correct</v>
      </c>
      <c r="B81" s="1510" t="s">
        <v>1135</v>
      </c>
      <c r="C81" t="s">
        <v>192</v>
      </c>
      <c r="D81" s="1501">
        <f>Schedule_G!B265</f>
        <v>208</v>
      </c>
      <c r="E81" s="1501" t="str">
        <f>Schedule_G!C265</f>
        <v>TOTAL ROUTINE EXPENSES</v>
      </c>
      <c r="F81" s="1501">
        <f>Schedule_G!D265</f>
        <v>0</v>
      </c>
      <c r="G81" s="1501">
        <f>Schedule_G!E265</f>
        <v>0</v>
      </c>
      <c r="H81" s="1501"/>
      <c r="I81" s="1501"/>
      <c r="J81" s="1501"/>
      <c r="K81" s="1501"/>
      <c r="L81" s="1501"/>
      <c r="M81" s="1501"/>
      <c r="N81" s="1501"/>
      <c r="O81" s="1501"/>
      <c r="P81" s="1501"/>
      <c r="Q81" s="1501"/>
      <c r="R81" s="1501"/>
      <c r="S81" s="1501"/>
      <c r="T81" s="1501"/>
      <c r="U81" s="1501"/>
      <c r="V81" s="1501"/>
      <c r="W81" s="1501"/>
      <c r="AB81">
        <v>33200</v>
      </c>
      <c r="AC81">
        <v>4111027</v>
      </c>
      <c r="AD81" t="s">
        <v>851</v>
      </c>
      <c r="AE81">
        <v>4111027</v>
      </c>
      <c r="AF81">
        <v>1102</v>
      </c>
      <c r="AG81" s="1860">
        <v>33756</v>
      </c>
      <c r="AH81" s="1860">
        <v>523456</v>
      </c>
      <c r="AI81" t="s">
        <v>775</v>
      </c>
      <c r="AJ81" t="s">
        <v>775</v>
      </c>
      <c r="AK81" t="s">
        <v>855</v>
      </c>
      <c r="AN81" t="str">
        <f t="shared" si="2"/>
        <v>41410081235148081</v>
      </c>
      <c r="AO81" t="str">
        <f t="shared" si="3"/>
        <v>4141008100553400</v>
      </c>
      <c r="AP81" s="1758" t="s">
        <v>774</v>
      </c>
      <c r="AQ81" s="1759">
        <v>4141008</v>
      </c>
      <c r="AR81" s="1758" t="s">
        <v>775</v>
      </c>
      <c r="AS81" s="1758">
        <v>10020</v>
      </c>
      <c r="AT81" s="1759">
        <v>10020</v>
      </c>
      <c r="AU81" s="1758">
        <v>1235148081</v>
      </c>
      <c r="AV81" s="1758">
        <v>1235148081</v>
      </c>
      <c r="AW81" s="1758">
        <v>100553400</v>
      </c>
      <c r="AX81" s="1758" t="s">
        <v>775</v>
      </c>
      <c r="AY81" s="1758" t="s">
        <v>775</v>
      </c>
      <c r="AZ81" s="1758" t="s">
        <v>775</v>
      </c>
      <c r="BA81" s="1758" t="s">
        <v>775</v>
      </c>
      <c r="BB81" s="1758" t="s">
        <v>775</v>
      </c>
      <c r="BC81" t="s">
        <v>775</v>
      </c>
      <c r="BD81" t="s">
        <v>775</v>
      </c>
    </row>
    <row r="82" spans="1:56" ht="12" customHeight="1">
      <c r="A82" t="str">
        <f>IF(AND(_C006221&gt;0,_C000716&gt;0),"Correct",IF(AND(_C006221=0,_C000716=0),"Correct","Error"))</f>
        <v>Correct</v>
      </c>
      <c r="B82" s="1510" t="s">
        <v>1135</v>
      </c>
      <c r="C82" t="s">
        <v>192</v>
      </c>
      <c r="D82" s="1501">
        <f>Schedule_G!B298</f>
        <v>220</v>
      </c>
      <c r="E82" s="1501">
        <f>Schedule_G!C298</f>
        <v>0</v>
      </c>
      <c r="F82" s="1501" t="str">
        <f>Schedule_G!D298</f>
        <v>Salaries and Wages</v>
      </c>
      <c r="G82" s="1501">
        <f>Schedule_G!E298</f>
        <v>6221</v>
      </c>
      <c r="H82" s="1501"/>
      <c r="I82" s="1501"/>
      <c r="J82" s="1501"/>
      <c r="K82" s="1501"/>
      <c r="L82" s="1501"/>
      <c r="M82" s="1501"/>
      <c r="N82" s="1501"/>
      <c r="O82" s="1501"/>
      <c r="P82" s="1501"/>
      <c r="Q82" s="1501"/>
      <c r="R82" s="1501"/>
      <c r="S82" s="1501"/>
      <c r="T82" s="1501"/>
      <c r="U82" s="1501"/>
      <c r="V82" s="1501"/>
      <c r="W82" s="1501"/>
      <c r="AB82">
        <v>16500</v>
      </c>
      <c r="AC82">
        <v>4111076</v>
      </c>
      <c r="AD82" t="s">
        <v>851</v>
      </c>
      <c r="AE82">
        <v>4111076</v>
      </c>
      <c r="AF82">
        <v>1107</v>
      </c>
      <c r="AG82" s="1860">
        <v>33786</v>
      </c>
      <c r="AH82" s="1860">
        <v>523456</v>
      </c>
      <c r="AI82" t="s">
        <v>775</v>
      </c>
      <c r="AJ82" t="s">
        <v>775</v>
      </c>
      <c r="AK82" t="s">
        <v>856</v>
      </c>
      <c r="AN82" t="str">
        <f t="shared" si="2"/>
        <v>4147203NULL</v>
      </c>
      <c r="AO82" t="str">
        <f t="shared" si="3"/>
        <v>4147203102622300</v>
      </c>
      <c r="AP82" s="1758" t="s">
        <v>774</v>
      </c>
      <c r="AQ82" s="1759">
        <v>4147203</v>
      </c>
      <c r="AR82" s="1758" t="s">
        <v>775</v>
      </c>
      <c r="AS82" s="1758">
        <v>10200</v>
      </c>
      <c r="AT82" s="1759">
        <v>10200</v>
      </c>
      <c r="AU82" s="1758" t="s">
        <v>775</v>
      </c>
      <c r="AV82" s="1758">
        <v>0</v>
      </c>
      <c r="AW82" s="1758">
        <v>102622300</v>
      </c>
      <c r="AX82" s="1758" t="s">
        <v>775</v>
      </c>
      <c r="AY82" s="1758" t="s">
        <v>775</v>
      </c>
      <c r="AZ82" s="1758" t="s">
        <v>775</v>
      </c>
      <c r="BA82" s="1758" t="s">
        <v>775</v>
      </c>
      <c r="BB82" s="1758" t="s">
        <v>775</v>
      </c>
      <c r="BC82" t="s">
        <v>775</v>
      </c>
      <c r="BD82" t="s">
        <v>775</v>
      </c>
    </row>
    <row r="83" spans="1:56" ht="12" customHeight="1">
      <c r="A83" t="str">
        <f>IF(AND(_C006241&gt;0,_C000724&gt;0),"Correct",IF(AND(_C006241=0,_C000724=0),"Correct","Error"))</f>
        <v>Correct</v>
      </c>
      <c r="B83" s="1510" t="s">
        <v>1135</v>
      </c>
      <c r="C83" t="s">
        <v>192</v>
      </c>
      <c r="D83" s="1501">
        <f>Schedule_G!B306</f>
        <v>228</v>
      </c>
      <c r="E83" s="1501">
        <f>Schedule_G!C306</f>
        <v>0</v>
      </c>
      <c r="F83" s="1501" t="str">
        <f>Schedule_G!D306</f>
        <v>Salaries and Wages</v>
      </c>
      <c r="G83" s="1501">
        <f>Schedule_G!E306</f>
        <v>6241</v>
      </c>
      <c r="H83" s="1501"/>
      <c r="I83" s="1501"/>
      <c r="J83" s="1501"/>
      <c r="K83" s="1501"/>
      <c r="L83" s="1501"/>
      <c r="M83" s="1501"/>
      <c r="N83" s="1501"/>
      <c r="O83" s="1501"/>
      <c r="P83" s="1501"/>
      <c r="Q83" s="1501"/>
      <c r="R83" s="1501"/>
      <c r="S83" s="1501"/>
      <c r="T83" s="1501"/>
      <c r="U83" s="1501"/>
      <c r="V83" s="1501"/>
      <c r="W83" s="1501"/>
      <c r="AB83">
        <v>25040</v>
      </c>
      <c r="AC83">
        <v>4111670</v>
      </c>
      <c r="AD83" t="s">
        <v>851</v>
      </c>
      <c r="AE83">
        <v>4111670</v>
      </c>
      <c r="AF83">
        <v>489</v>
      </c>
      <c r="AG83" s="1860">
        <v>34921</v>
      </c>
      <c r="AH83" s="1860">
        <v>523456</v>
      </c>
      <c r="AI83" t="s">
        <v>775</v>
      </c>
      <c r="AJ83" t="s">
        <v>775</v>
      </c>
      <c r="AK83" t="s">
        <v>857</v>
      </c>
      <c r="AN83" t="str">
        <f t="shared" si="2"/>
        <v>41139081992750558</v>
      </c>
      <c r="AO83" t="str">
        <f t="shared" si="3"/>
        <v>4113908102392700</v>
      </c>
      <c r="AP83" s="1758" t="s">
        <v>774</v>
      </c>
      <c r="AQ83" s="1759">
        <v>4113908</v>
      </c>
      <c r="AR83" s="1758" t="s">
        <v>775</v>
      </c>
      <c r="AS83" s="1758">
        <v>1700</v>
      </c>
      <c r="AT83" s="1759">
        <v>1700</v>
      </c>
      <c r="AU83" s="1758">
        <v>1992750558</v>
      </c>
      <c r="AV83" s="1758">
        <v>1992750558</v>
      </c>
      <c r="AW83" s="1758">
        <v>102392700</v>
      </c>
      <c r="AX83" s="1758" t="s">
        <v>775</v>
      </c>
      <c r="AY83" s="1758" t="s">
        <v>775</v>
      </c>
      <c r="AZ83" s="1758" t="s">
        <v>775</v>
      </c>
      <c r="BA83" s="1758" t="s">
        <v>775</v>
      </c>
      <c r="BB83" s="1758" t="s">
        <v>775</v>
      </c>
      <c r="BC83" t="s">
        <v>775</v>
      </c>
      <c r="BD83" t="s">
        <v>775</v>
      </c>
    </row>
    <row r="84" spans="1:56" ht="12" customHeight="1">
      <c r="A84" t="str">
        <f>IF(AND(_C006281&gt;0,_C000708&gt;0),"Correct",IF(AND(_C006281=0,_C000708=0),"Correct","Error"))</f>
        <v>Correct</v>
      </c>
      <c r="B84" s="1510" t="s">
        <v>1135</v>
      </c>
      <c r="C84" t="s">
        <v>192</v>
      </c>
      <c r="D84" s="1501">
        <f>Schedule_G!B314</f>
        <v>236</v>
      </c>
      <c r="E84" s="1501">
        <f>Schedule_G!C314</f>
        <v>0</v>
      </c>
      <c r="F84" s="1501" t="str">
        <f>Schedule_G!D314</f>
        <v>Salaries and Wages</v>
      </c>
      <c r="G84" s="1501">
        <f>Schedule_G!E314</f>
        <v>6281</v>
      </c>
      <c r="H84" s="1501"/>
      <c r="I84" s="1501"/>
      <c r="J84" s="1501"/>
      <c r="K84" s="1501"/>
      <c r="L84" s="1501"/>
      <c r="M84" s="1501"/>
      <c r="N84" s="1501"/>
      <c r="O84" s="1501"/>
      <c r="P84" s="1501"/>
      <c r="Q84" s="1501"/>
      <c r="R84" s="1501"/>
      <c r="S84" s="1501"/>
      <c r="T84" s="1501"/>
      <c r="U84" s="1501"/>
      <c r="V84" s="1501"/>
      <c r="W84" s="1501"/>
      <c r="AB84">
        <v>29080</v>
      </c>
      <c r="AC84">
        <v>4111779</v>
      </c>
      <c r="AD84" t="s">
        <v>851</v>
      </c>
      <c r="AE84">
        <v>4111779</v>
      </c>
      <c r="AF84">
        <v>1177</v>
      </c>
      <c r="AG84" s="1860">
        <v>35096</v>
      </c>
      <c r="AH84" s="1860">
        <v>523456</v>
      </c>
      <c r="AI84" t="s">
        <v>775</v>
      </c>
      <c r="AJ84" t="s">
        <v>775</v>
      </c>
      <c r="AK84" t="s">
        <v>858</v>
      </c>
      <c r="AN84" t="str">
        <f t="shared" si="2"/>
        <v>41688031720060908</v>
      </c>
      <c r="AO84" t="str">
        <f t="shared" si="3"/>
        <v>4168803101731400</v>
      </c>
      <c r="AP84" s="1758" t="s">
        <v>774</v>
      </c>
      <c r="AQ84" s="1759">
        <v>4168803</v>
      </c>
      <c r="AR84" s="1758" t="s">
        <v>775</v>
      </c>
      <c r="AS84" s="1758">
        <v>16800</v>
      </c>
      <c r="AT84" s="1759">
        <v>16800</v>
      </c>
      <c r="AU84" s="1758">
        <v>1720060908</v>
      </c>
      <c r="AV84" s="1758">
        <v>1720060908</v>
      </c>
      <c r="AW84" s="1758">
        <v>101731400</v>
      </c>
      <c r="AX84" s="1758" t="s">
        <v>775</v>
      </c>
      <c r="AY84" s="1758" t="s">
        <v>775</v>
      </c>
      <c r="AZ84" s="1758" t="s">
        <v>775</v>
      </c>
      <c r="BA84" s="1758" t="s">
        <v>775</v>
      </c>
      <c r="BB84" s="1758" t="s">
        <v>775</v>
      </c>
      <c r="BC84" t="s">
        <v>775</v>
      </c>
      <c r="BD84" t="s">
        <v>775</v>
      </c>
    </row>
    <row r="85" spans="1:56" ht="12" customHeight="1">
      <c r="A85" t="str">
        <f>IF(AND(_C006291&gt;0,_C000732&gt;0),"Correct",IF(AND(_C006291=0,_C000732=0),"Correct","Error"))</f>
        <v>Correct</v>
      </c>
      <c r="B85" s="1510" t="s">
        <v>1135</v>
      </c>
      <c r="C85" t="s">
        <v>192</v>
      </c>
      <c r="D85" s="1501">
        <f>Schedule_G!B322</f>
        <v>244</v>
      </c>
      <c r="E85" s="1501">
        <f>Schedule_G!C322</f>
        <v>0</v>
      </c>
      <c r="F85" s="1501" t="str">
        <f>Schedule_G!D322</f>
        <v>Salaries and Wages</v>
      </c>
      <c r="G85" s="1501">
        <f>Schedule_G!E322</f>
        <v>6291</v>
      </c>
      <c r="H85" s="1501"/>
      <c r="I85" s="1501"/>
      <c r="J85" s="1501"/>
      <c r="K85" s="1501"/>
      <c r="L85" s="1501"/>
      <c r="M85" s="1501"/>
      <c r="N85" s="1501"/>
      <c r="O85" s="1501"/>
      <c r="P85" s="1501"/>
      <c r="Q85" s="1501"/>
      <c r="R85" s="1501"/>
      <c r="S85" s="1501"/>
      <c r="T85" s="1501"/>
      <c r="U85" s="1501"/>
      <c r="V85" s="1501"/>
      <c r="W85" s="1501"/>
      <c r="AB85">
        <v>5900</v>
      </c>
      <c r="AC85">
        <v>4111969</v>
      </c>
      <c r="AD85" t="s">
        <v>851</v>
      </c>
      <c r="AE85">
        <v>4111969</v>
      </c>
      <c r="AF85">
        <v>1196</v>
      </c>
      <c r="AG85" s="1860">
        <v>35217</v>
      </c>
      <c r="AH85" s="1860">
        <v>523456</v>
      </c>
      <c r="AI85" t="s">
        <v>775</v>
      </c>
      <c r="AJ85" t="s">
        <v>775</v>
      </c>
      <c r="AK85" t="s">
        <v>859</v>
      </c>
      <c r="AN85" t="str">
        <f t="shared" si="2"/>
        <v>41111591649251653</v>
      </c>
      <c r="AO85" t="str">
        <f t="shared" si="3"/>
        <v>4111159101535800</v>
      </c>
      <c r="AP85" s="1758" t="s">
        <v>774</v>
      </c>
      <c r="AQ85" s="1759">
        <v>4111159</v>
      </c>
      <c r="AR85" s="1758" t="s">
        <v>775</v>
      </c>
      <c r="AS85" s="1758">
        <v>13300</v>
      </c>
      <c r="AT85" s="1759">
        <v>13300</v>
      </c>
      <c r="AU85" s="1758">
        <v>1649251653</v>
      </c>
      <c r="AV85" s="1758">
        <v>1649251653</v>
      </c>
      <c r="AW85" s="1758">
        <v>101535800</v>
      </c>
      <c r="AX85" s="1758" t="s">
        <v>775</v>
      </c>
      <c r="AY85" s="1758" t="s">
        <v>775</v>
      </c>
      <c r="AZ85" s="1758" t="s">
        <v>775</v>
      </c>
      <c r="BA85" s="1758" t="s">
        <v>775</v>
      </c>
      <c r="BB85" s="1758" t="s">
        <v>775</v>
      </c>
      <c r="BC85" t="s">
        <v>775</v>
      </c>
      <c r="BD85" t="s">
        <v>775</v>
      </c>
    </row>
    <row r="86" spans="1:56" ht="12" customHeight="1">
      <c r="A86" t="str">
        <f>IF(AND(_C511115&gt;0,_C000733&gt;0),"Correct",IF(AND(_C511115=0,_C000733=0),"Correct","Error"))</f>
        <v>Correct</v>
      </c>
      <c r="B86" s="1510" t="s">
        <v>1135</v>
      </c>
      <c r="C86" t="s">
        <v>192</v>
      </c>
      <c r="D86" s="1501">
        <f>Schedule_G!B330</f>
        <v>252</v>
      </c>
      <c r="E86" s="1501">
        <f>Schedule_G!C330</f>
        <v>0</v>
      </c>
      <c r="F86" s="1501" t="str">
        <f>Schedule_G!D330</f>
        <v>Salaries and Wages</v>
      </c>
      <c r="G86" s="1501">
        <f>Schedule_G!E330</f>
        <v>5111.15</v>
      </c>
      <c r="H86" s="1501"/>
      <c r="I86" s="1501"/>
      <c r="J86" s="1501"/>
      <c r="K86" s="1501"/>
      <c r="L86" s="1501"/>
      <c r="M86" s="1501"/>
      <c r="N86" s="1501"/>
      <c r="O86" s="1501"/>
      <c r="P86" s="1501"/>
      <c r="Q86" s="1501"/>
      <c r="R86" s="1501"/>
      <c r="S86" s="1501"/>
      <c r="T86" s="1501"/>
      <c r="U86" s="1501"/>
      <c r="V86" s="1501"/>
      <c r="W86" s="1501"/>
      <c r="AB86">
        <v>6100</v>
      </c>
      <c r="AC86">
        <v>4112165</v>
      </c>
      <c r="AD86" t="s">
        <v>851</v>
      </c>
      <c r="AE86">
        <v>4112165</v>
      </c>
      <c r="AF86">
        <v>1216</v>
      </c>
      <c r="AG86" s="1860">
        <v>35431</v>
      </c>
      <c r="AH86" s="1860">
        <v>523456</v>
      </c>
      <c r="AI86" t="s">
        <v>775</v>
      </c>
      <c r="AJ86" t="s">
        <v>775</v>
      </c>
      <c r="AK86" t="s">
        <v>860</v>
      </c>
      <c r="AN86" t="str">
        <f t="shared" si="2"/>
        <v>4112512NULL</v>
      </c>
      <c r="AO86" t="str">
        <f t="shared" si="3"/>
        <v>4112512102908600</v>
      </c>
      <c r="AP86" s="1758" t="s">
        <v>774</v>
      </c>
      <c r="AQ86" s="1759">
        <v>4112512</v>
      </c>
      <c r="AR86" s="1758" t="s">
        <v>775</v>
      </c>
      <c r="AS86" s="1758">
        <v>7300</v>
      </c>
      <c r="AT86" s="1759">
        <v>7300</v>
      </c>
      <c r="AU86" s="1758" t="s">
        <v>775</v>
      </c>
      <c r="AV86" s="1758">
        <v>0</v>
      </c>
      <c r="AW86" s="1758">
        <v>102908600</v>
      </c>
      <c r="AX86" s="1758" t="s">
        <v>775</v>
      </c>
      <c r="AY86" s="1758" t="s">
        <v>775</v>
      </c>
      <c r="AZ86" s="1758" t="s">
        <v>775</v>
      </c>
      <c r="BA86" s="1758" t="s">
        <v>775</v>
      </c>
      <c r="BB86" s="1758" t="s">
        <v>775</v>
      </c>
      <c r="BC86" t="s">
        <v>775</v>
      </c>
      <c r="BD86" t="s">
        <v>775</v>
      </c>
    </row>
    <row r="87" spans="1:56" ht="12" customHeight="1">
      <c r="A87" t="str">
        <f>IF(AND(_C006321&gt;0,_C001580&gt;0),"Correct",IF(AND(_C006321=0,_C001580=0),"Correct","Error"))</f>
        <v>Correct</v>
      </c>
      <c r="B87" s="1510" t="s">
        <v>1135</v>
      </c>
      <c r="C87" t="s">
        <v>192</v>
      </c>
      <c r="D87" s="1501">
        <f>Schedule_G!B338</f>
        <v>260</v>
      </c>
      <c r="E87" s="1501">
        <f>Schedule_G!C338</f>
        <v>0</v>
      </c>
      <c r="F87" s="1501" t="str">
        <f>Schedule_G!D338</f>
        <v>Salaries and Wages</v>
      </c>
      <c r="G87" s="1501">
        <f>Schedule_G!E338</f>
        <v>6321</v>
      </c>
      <c r="H87" s="1501"/>
      <c r="I87" s="1501"/>
      <c r="J87" s="1501"/>
      <c r="K87" s="1501"/>
      <c r="L87" s="1501"/>
      <c r="M87" s="1501"/>
      <c r="N87" s="1501"/>
      <c r="O87" s="1501"/>
      <c r="P87" s="1501"/>
      <c r="Q87" s="1501"/>
      <c r="R87" s="1501"/>
      <c r="S87" s="1501"/>
      <c r="T87" s="1501"/>
      <c r="U87" s="1501"/>
      <c r="V87" s="1501"/>
      <c r="W87" s="1501"/>
      <c r="AB87">
        <v>26010</v>
      </c>
      <c r="AC87">
        <v>4113684</v>
      </c>
      <c r="AD87" t="s">
        <v>851</v>
      </c>
      <c r="AE87">
        <v>4113684</v>
      </c>
      <c r="AF87">
        <v>1368</v>
      </c>
      <c r="AG87" s="1860">
        <v>38047</v>
      </c>
      <c r="AH87" s="1860">
        <v>523456</v>
      </c>
      <c r="AI87" t="s">
        <v>775</v>
      </c>
      <c r="AJ87" t="s">
        <v>775</v>
      </c>
      <c r="AK87" t="s">
        <v>862</v>
      </c>
      <c r="AN87" t="str">
        <f t="shared" si="2"/>
        <v>41117951093813214</v>
      </c>
      <c r="AO87" t="str">
        <f t="shared" si="3"/>
        <v>4111795100229300</v>
      </c>
      <c r="AP87" s="1758" t="s">
        <v>774</v>
      </c>
      <c r="AQ87" s="1759">
        <v>4111795</v>
      </c>
      <c r="AR87" s="1758" t="s">
        <v>775</v>
      </c>
      <c r="AS87" s="1758">
        <v>33700</v>
      </c>
      <c r="AT87" s="1759">
        <v>33700</v>
      </c>
      <c r="AU87" s="1758">
        <v>1093813214</v>
      </c>
      <c r="AV87" s="1758">
        <v>1093813214</v>
      </c>
      <c r="AW87" s="1758">
        <v>100229300</v>
      </c>
      <c r="AX87" s="1758" t="s">
        <v>775</v>
      </c>
      <c r="AY87" s="1758" t="s">
        <v>775</v>
      </c>
      <c r="AZ87" s="1758" t="s">
        <v>775</v>
      </c>
      <c r="BA87" s="1758" t="s">
        <v>775</v>
      </c>
      <c r="BB87" s="1758" t="s">
        <v>775</v>
      </c>
      <c r="BC87" t="s">
        <v>775</v>
      </c>
      <c r="BD87" t="s">
        <v>775</v>
      </c>
    </row>
    <row r="88" spans="1:56" ht="12" customHeight="1">
      <c r="A88" t="str">
        <f>IF(AND(_C007006&gt;0,_C007008&gt;0),"Correct",IF(AND(_C007006=0,_C007008=0),"Correct","Error"))</f>
        <v>Correct</v>
      </c>
      <c r="B88" s="1510" t="s">
        <v>1135</v>
      </c>
      <c r="C88" t="s">
        <v>192</v>
      </c>
      <c r="D88" s="1501">
        <f>Schedule_G!B431</f>
        <v>332</v>
      </c>
      <c r="E88" s="1501" t="str">
        <f>Schedule_G!C431</f>
        <v>TOTAL EXPENSES</v>
      </c>
      <c r="F88" s="1501">
        <f>Schedule_G!D431</f>
        <v>0</v>
      </c>
      <c r="G88" s="1501">
        <f>Schedule_G!E431</f>
        <v>0</v>
      </c>
      <c r="H88" s="1501"/>
      <c r="I88" s="1501"/>
      <c r="J88" s="1501"/>
      <c r="K88" s="1501"/>
      <c r="L88" s="1501"/>
      <c r="M88" s="1501"/>
      <c r="N88" s="1501"/>
      <c r="O88" s="1501"/>
      <c r="P88" s="1501"/>
      <c r="Q88" s="1501"/>
      <c r="R88" s="1501"/>
      <c r="S88" s="1501"/>
      <c r="T88" s="1501"/>
      <c r="U88" s="1501"/>
      <c r="V88" s="1501"/>
      <c r="W88" s="1501"/>
      <c r="AB88">
        <v>20400</v>
      </c>
      <c r="AC88">
        <v>4113817</v>
      </c>
      <c r="AD88" t="s">
        <v>851</v>
      </c>
      <c r="AE88">
        <v>4113817</v>
      </c>
      <c r="AF88">
        <v>1381</v>
      </c>
      <c r="AG88" s="1860">
        <v>38626</v>
      </c>
      <c r="AH88" s="1860">
        <v>523456</v>
      </c>
      <c r="AI88" t="s">
        <v>775</v>
      </c>
      <c r="AJ88" t="s">
        <v>775</v>
      </c>
      <c r="AK88" t="s">
        <v>863</v>
      </c>
      <c r="AN88" t="str">
        <f t="shared" si="2"/>
        <v>41118781225136385</v>
      </c>
      <c r="AO88" t="str">
        <f t="shared" si="3"/>
        <v>4111878100540700</v>
      </c>
      <c r="AP88" s="1758" t="s">
        <v>774</v>
      </c>
      <c r="AQ88" s="1759">
        <v>4111878</v>
      </c>
      <c r="AR88" s="1758" t="s">
        <v>775</v>
      </c>
      <c r="AS88" s="1758">
        <v>20600</v>
      </c>
      <c r="AT88" s="1759">
        <v>20600</v>
      </c>
      <c r="AU88" s="1758">
        <v>1225136385</v>
      </c>
      <c r="AV88" s="1758">
        <v>1225136385</v>
      </c>
      <c r="AW88" s="1758">
        <v>100540700</v>
      </c>
      <c r="AX88" s="1758" t="s">
        <v>775</v>
      </c>
      <c r="AY88" s="1758" t="s">
        <v>775</v>
      </c>
      <c r="AZ88" s="1758" t="s">
        <v>775</v>
      </c>
      <c r="BA88" s="1758" t="s">
        <v>775</v>
      </c>
      <c r="BB88" s="1758" t="s">
        <v>775</v>
      </c>
      <c r="BC88" t="s">
        <v>775</v>
      </c>
      <c r="BD88" t="s">
        <v>775</v>
      </c>
    </row>
    <row r="89" spans="1:56" ht="12" customHeight="1">
      <c r="A89" t="str">
        <f>IF(_C901568&gt;0,"Correct","Error")</f>
        <v>Error</v>
      </c>
      <c r="B89" s="1510" t="s">
        <v>1003</v>
      </c>
      <c r="C89" t="s">
        <v>192</v>
      </c>
      <c r="D89" s="1501">
        <f>Schedule_G!B276</f>
        <v>209</v>
      </c>
      <c r="E89" s="1501" t="str">
        <f>Schedule_G!C276</f>
        <v>Structure Square Footage From Prior Year</v>
      </c>
      <c r="F89" s="1501"/>
      <c r="G89" s="1501"/>
      <c r="H89" s="1501"/>
      <c r="I89" s="1501"/>
      <c r="J89" s="1501"/>
      <c r="K89" s="1501"/>
      <c r="L89" s="1501"/>
      <c r="M89" s="1501"/>
      <c r="N89" s="1501"/>
      <c r="O89" s="1501"/>
      <c r="P89" s="1501"/>
      <c r="Q89" s="1501"/>
      <c r="R89" s="1501"/>
      <c r="S89" s="1501"/>
      <c r="T89" s="1501"/>
      <c r="U89" s="1501"/>
      <c r="V89" s="1501"/>
      <c r="W89" s="1501"/>
      <c r="AB89">
        <v>20500</v>
      </c>
      <c r="AC89">
        <v>4113833</v>
      </c>
      <c r="AD89" t="s">
        <v>851</v>
      </c>
      <c r="AE89">
        <v>4113833</v>
      </c>
      <c r="AF89">
        <v>1383</v>
      </c>
      <c r="AG89" s="1860">
        <v>38718</v>
      </c>
      <c r="AH89" s="1860">
        <v>523456</v>
      </c>
      <c r="AI89" t="s">
        <v>775</v>
      </c>
      <c r="AJ89" t="s">
        <v>775</v>
      </c>
      <c r="AK89" t="s">
        <v>864</v>
      </c>
      <c r="AN89" t="str">
        <f t="shared" si="2"/>
        <v>41119021215966312</v>
      </c>
      <c r="AO89" t="str">
        <f t="shared" si="3"/>
        <v>4111902100517100</v>
      </c>
      <c r="AP89" s="1758" t="s">
        <v>774</v>
      </c>
      <c r="AQ89" s="1759">
        <v>4111902</v>
      </c>
      <c r="AR89" s="1758" t="s">
        <v>775</v>
      </c>
      <c r="AS89" s="1758">
        <v>15700</v>
      </c>
      <c r="AT89" s="1759">
        <v>15700</v>
      </c>
      <c r="AU89" s="1758">
        <v>1215966312</v>
      </c>
      <c r="AV89" s="1758">
        <v>1215966312</v>
      </c>
      <c r="AW89" s="1758">
        <v>100517100</v>
      </c>
      <c r="AX89" s="1758" t="s">
        <v>775</v>
      </c>
      <c r="AY89" s="1758" t="s">
        <v>775</v>
      </c>
      <c r="AZ89" s="1758" t="s">
        <v>775</v>
      </c>
      <c r="BA89" s="1758" t="s">
        <v>775</v>
      </c>
      <c r="BB89" s="1758" t="s">
        <v>775</v>
      </c>
      <c r="BC89" t="s">
        <v>775</v>
      </c>
      <c r="BD89" t="s">
        <v>775</v>
      </c>
    </row>
    <row r="90" spans="1:56" ht="12" customHeight="1">
      <c r="A90" t="str">
        <f>IF(_C901683&gt;0,"Correct","Error")</f>
        <v>Error</v>
      </c>
      <c r="B90" s="1510" t="s">
        <v>1004</v>
      </c>
      <c r="C90" t="s">
        <v>192</v>
      </c>
      <c r="D90" s="1501">
        <f>Schedule_G!B285</f>
        <v>217</v>
      </c>
      <c r="E90" s="1501" t="str">
        <f>Schedule_G!C285</f>
        <v>Total Current Nursing Home Sq. Footage (Attach Supporting Schedule(s) and Site Plan) Lines 209 to 214</v>
      </c>
      <c r="F90" s="1501"/>
      <c r="G90" s="1501"/>
      <c r="H90" s="1501"/>
      <c r="I90" s="1501"/>
      <c r="J90" s="1501"/>
      <c r="K90" s="1501"/>
      <c r="L90" s="1501"/>
      <c r="M90" s="1501"/>
      <c r="N90" s="1501"/>
      <c r="O90" s="1501"/>
      <c r="P90" s="1501"/>
      <c r="Q90" s="1501"/>
      <c r="R90" s="1501"/>
      <c r="S90" s="1501"/>
      <c r="T90" s="1501"/>
      <c r="U90" s="1501"/>
      <c r="V90" s="1501"/>
      <c r="W90" s="1501"/>
      <c r="AB90">
        <v>14600</v>
      </c>
      <c r="AC90">
        <v>4113874</v>
      </c>
      <c r="AD90" t="s">
        <v>851</v>
      </c>
      <c r="AE90">
        <v>4113874</v>
      </c>
      <c r="AF90">
        <v>1387</v>
      </c>
      <c r="AG90" s="1860">
        <v>38718</v>
      </c>
      <c r="AH90" s="1860">
        <v>523456</v>
      </c>
      <c r="AI90" t="s">
        <v>775</v>
      </c>
      <c r="AJ90" t="s">
        <v>775</v>
      </c>
      <c r="AK90" t="s">
        <v>865</v>
      </c>
      <c r="AN90" t="str">
        <f t="shared" si="2"/>
        <v>4110573NULL</v>
      </c>
      <c r="AO90" t="str">
        <f t="shared" si="3"/>
        <v>4110573102614100</v>
      </c>
      <c r="AP90" s="1758" t="s">
        <v>774</v>
      </c>
      <c r="AQ90" s="1759">
        <v>4110573</v>
      </c>
      <c r="AR90" s="1758" t="s">
        <v>775</v>
      </c>
      <c r="AS90" s="1758">
        <v>40050</v>
      </c>
      <c r="AT90" s="1759">
        <v>40050</v>
      </c>
      <c r="AU90" s="1758" t="s">
        <v>775</v>
      </c>
      <c r="AV90" s="1758">
        <v>0</v>
      </c>
      <c r="AW90" s="1758">
        <v>102614100</v>
      </c>
      <c r="AX90" s="1758" t="s">
        <v>775</v>
      </c>
      <c r="AY90" s="1758" t="s">
        <v>775</v>
      </c>
      <c r="AZ90" s="1758" t="s">
        <v>775</v>
      </c>
      <c r="BA90" s="1758" t="s">
        <v>775</v>
      </c>
      <c r="BB90" s="1758" t="s">
        <v>775</v>
      </c>
      <c r="BC90" t="s">
        <v>775</v>
      </c>
      <c r="BD90" t="s">
        <v>775</v>
      </c>
    </row>
    <row r="91" spans="1:56" ht="12" customHeight="1">
      <c r="A91" t="str">
        <f>IF(_C903917&gt;0,"Correct","Error")</f>
        <v>Error</v>
      </c>
      <c r="B91" s="1510" t="s">
        <v>1005</v>
      </c>
      <c r="C91" t="s">
        <v>192</v>
      </c>
      <c r="D91" s="1501">
        <f>Schedule_G!B286</f>
        <v>218</v>
      </c>
      <c r="E91" s="1501" t="str">
        <f>Schedule_G!C286</f>
        <v>Nursing Home Sq. Footage Per Bed</v>
      </c>
      <c r="F91" s="1501"/>
      <c r="G91" s="1501"/>
      <c r="H91" s="1501"/>
      <c r="I91" s="1501"/>
      <c r="J91" s="1501"/>
      <c r="K91" s="1501"/>
      <c r="L91" s="1501"/>
      <c r="M91" s="1501"/>
      <c r="N91" s="1501"/>
      <c r="O91" s="1501"/>
      <c r="P91" s="1501"/>
      <c r="Q91" s="1501"/>
      <c r="R91" s="1501"/>
      <c r="S91" s="1501"/>
      <c r="T91" s="1501"/>
      <c r="U91" s="1501"/>
      <c r="V91" s="1501"/>
      <c r="W91" s="1501"/>
      <c r="AB91">
        <v>18400</v>
      </c>
      <c r="AC91">
        <v>4113882</v>
      </c>
      <c r="AD91" t="s">
        <v>851</v>
      </c>
      <c r="AE91">
        <v>4113882</v>
      </c>
      <c r="AF91">
        <v>1388</v>
      </c>
      <c r="AG91" s="1860">
        <v>38718</v>
      </c>
      <c r="AH91" s="1860">
        <v>523456</v>
      </c>
      <c r="AI91" t="s">
        <v>775</v>
      </c>
      <c r="AJ91" t="s">
        <v>775</v>
      </c>
      <c r="AK91" t="s">
        <v>866</v>
      </c>
      <c r="AN91" t="str">
        <f t="shared" si="2"/>
        <v>41119771497708655</v>
      </c>
      <c r="AO91" t="str">
        <f t="shared" si="3"/>
        <v>4111977104444700</v>
      </c>
      <c r="AP91" s="1758" t="s">
        <v>774</v>
      </c>
      <c r="AQ91" s="1759">
        <v>4111977</v>
      </c>
      <c r="AR91" s="1758" t="s">
        <v>775</v>
      </c>
      <c r="AS91" s="1758">
        <v>19100</v>
      </c>
      <c r="AT91" s="1759">
        <v>19100</v>
      </c>
      <c r="AU91" s="1758">
        <v>1497708655</v>
      </c>
      <c r="AV91" s="1758">
        <v>1497708655</v>
      </c>
      <c r="AW91" s="1758">
        <v>104444700</v>
      </c>
      <c r="AX91" s="1758" t="s">
        <v>775</v>
      </c>
      <c r="AY91" s="1758" t="s">
        <v>775</v>
      </c>
      <c r="AZ91" s="1758" t="s">
        <v>775</v>
      </c>
      <c r="BA91" s="1758" t="s">
        <v>775</v>
      </c>
      <c r="BB91" s="1758" t="s">
        <v>775</v>
      </c>
      <c r="BC91" t="s">
        <v>775</v>
      </c>
      <c r="BD91" t="s">
        <v>775</v>
      </c>
    </row>
    <row r="92" spans="1:56" ht="12" customHeight="1">
      <c r="A92" t="str">
        <f>IF(_C904034&lt;=0,"Error","Correct")</f>
        <v>Error</v>
      </c>
      <c r="B92" s="1510" t="s">
        <v>1006</v>
      </c>
      <c r="C92" t="s">
        <v>973</v>
      </c>
      <c r="D92" s="1501" t="str">
        <f>Schedule_L!A7</f>
        <v>Line 1</v>
      </c>
      <c r="E92" s="1501" t="str">
        <f>"Number of Direct Care Staff Entire Year "&amp;Schedule_L!C$6</f>
        <v>Number of Direct Care Staff Entire Year Number of W2s</v>
      </c>
      <c r="F92" s="1501"/>
      <c r="G92" s="1501"/>
      <c r="H92" s="1501"/>
      <c r="I92" s="1501"/>
      <c r="J92" s="1501"/>
      <c r="K92" s="1501"/>
      <c r="L92" s="1501"/>
      <c r="M92" s="1501"/>
      <c r="N92" s="1501"/>
      <c r="O92" s="1501"/>
      <c r="P92" s="1501"/>
      <c r="Q92" s="1501"/>
      <c r="R92" s="1501"/>
      <c r="S92" s="1501"/>
      <c r="T92" s="1501"/>
      <c r="U92" s="1501"/>
      <c r="V92" s="1501"/>
      <c r="W92" s="1501"/>
      <c r="AB92">
        <v>11400</v>
      </c>
      <c r="AC92">
        <v>4113932</v>
      </c>
      <c r="AD92" t="s">
        <v>851</v>
      </c>
      <c r="AE92">
        <v>4113932</v>
      </c>
      <c r="AF92">
        <v>1393</v>
      </c>
      <c r="AG92" s="1860">
        <v>38718</v>
      </c>
      <c r="AH92" s="1860">
        <v>523456</v>
      </c>
      <c r="AI92" t="s">
        <v>775</v>
      </c>
      <c r="AJ92" t="s">
        <v>775</v>
      </c>
      <c r="AK92" t="s">
        <v>1111</v>
      </c>
      <c r="AN92" t="str">
        <f t="shared" si="2"/>
        <v>41104661659458610</v>
      </c>
      <c r="AO92" t="str">
        <f t="shared" si="3"/>
        <v>4110466104513000</v>
      </c>
      <c r="AP92" s="1758" t="s">
        <v>774</v>
      </c>
      <c r="AQ92" s="1759">
        <v>4110466</v>
      </c>
      <c r="AR92" s="1758" t="s">
        <v>775</v>
      </c>
      <c r="AS92" s="1758">
        <v>40010</v>
      </c>
      <c r="AT92" s="1759">
        <v>40010</v>
      </c>
      <c r="AU92" s="1758">
        <v>1659458610</v>
      </c>
      <c r="AV92" s="1758">
        <v>1659458610</v>
      </c>
      <c r="AW92" s="1758">
        <v>104513000</v>
      </c>
      <c r="AX92" s="1758" t="s">
        <v>775</v>
      </c>
      <c r="AY92" s="1758" t="s">
        <v>775</v>
      </c>
      <c r="AZ92" s="1758" t="s">
        <v>775</v>
      </c>
      <c r="BA92" s="1758" t="s">
        <v>775</v>
      </c>
      <c r="BB92" s="1758" t="s">
        <v>775</v>
      </c>
      <c r="BC92" t="s">
        <v>775</v>
      </c>
      <c r="BD92" t="s">
        <v>775</v>
      </c>
    </row>
    <row r="93" spans="1:56" ht="12" customHeight="1">
      <c r="A93" t="str">
        <f>IF(_C904035&lt;=0,"Error","Correct")</f>
        <v>Error</v>
      </c>
      <c r="B93" s="1510" t="s">
        <v>1007</v>
      </c>
      <c r="C93" t="s">
        <v>973</v>
      </c>
      <c r="D93" s="1501" t="str">
        <f>Schedule_L!A8</f>
        <v>Line 2</v>
      </c>
      <c r="E93" s="1501" t="str">
        <f>"Number of Direct Care Staff Entire Year  Exited "&amp;Schedule_L!C$6</f>
        <v>Number of Direct Care Staff Entire Year  Exited Number of W2s</v>
      </c>
      <c r="F93" s="1501"/>
      <c r="G93" s="1501"/>
      <c r="H93" s="1501"/>
      <c r="I93" s="1501"/>
      <c r="J93" s="1501"/>
      <c r="K93" s="1501"/>
      <c r="L93" s="1501"/>
      <c r="M93" s="1501"/>
      <c r="N93" s="1501"/>
      <c r="O93" s="1501"/>
      <c r="P93" s="1501"/>
      <c r="Q93" s="1501"/>
      <c r="R93" s="1501"/>
      <c r="S93" s="1501"/>
      <c r="T93" s="1501"/>
      <c r="U93" s="1501"/>
      <c r="V93" s="1501"/>
      <c r="W93" s="1501"/>
      <c r="AB93">
        <v>23400</v>
      </c>
      <c r="AC93">
        <v>4114179</v>
      </c>
      <c r="AD93" t="s">
        <v>851</v>
      </c>
      <c r="AE93">
        <v>4114179</v>
      </c>
      <c r="AF93">
        <v>1417</v>
      </c>
      <c r="AG93" s="1860">
        <v>39814</v>
      </c>
      <c r="AH93" s="1860">
        <v>523456</v>
      </c>
      <c r="AI93" t="s">
        <v>775</v>
      </c>
      <c r="AJ93" t="s">
        <v>775</v>
      </c>
      <c r="AK93" t="s">
        <v>867</v>
      </c>
      <c r="AN93" t="str">
        <f t="shared" si="2"/>
        <v>41121811336164631</v>
      </c>
      <c r="AO93" t="str">
        <f t="shared" si="3"/>
        <v>4112181100798400</v>
      </c>
      <c r="AP93" s="1758" t="s">
        <v>774</v>
      </c>
      <c r="AQ93" s="1759">
        <v>4112181</v>
      </c>
      <c r="AR93" s="1758" t="s">
        <v>775</v>
      </c>
      <c r="AS93" s="1758">
        <v>40350</v>
      </c>
      <c r="AT93" s="1759">
        <v>40350</v>
      </c>
      <c r="AU93" s="1758">
        <v>1336164631</v>
      </c>
      <c r="AV93" s="1758">
        <v>1336164631</v>
      </c>
      <c r="AW93" s="1758">
        <v>100798400</v>
      </c>
      <c r="AX93" s="1758" t="s">
        <v>775</v>
      </c>
      <c r="AY93" s="1758" t="s">
        <v>775</v>
      </c>
      <c r="AZ93" s="1758" t="s">
        <v>775</v>
      </c>
      <c r="BA93" s="1758" t="s">
        <v>775</v>
      </c>
      <c r="BB93" s="1758" t="s">
        <v>775</v>
      </c>
      <c r="BC93" t="s">
        <v>775</v>
      </c>
      <c r="BD93" t="s">
        <v>775</v>
      </c>
    </row>
    <row r="94" spans="1:56" ht="64.5">
      <c r="A94" t="str">
        <f>IF(ABS(_C000673-_C001022-_C001035)&lt;0.999,"Correct","Error")</f>
        <v>Correct</v>
      </c>
      <c r="B94" s="1510" t="s">
        <v>1136</v>
      </c>
      <c r="C94" t="s">
        <v>546</v>
      </c>
      <c r="D94" s="1501">
        <f>Schedule_M!B21</f>
        <v>14</v>
      </c>
      <c r="E94" s="1753" t="str">
        <f>"Total Line for "&amp;Schedule_M!F6</f>
        <v>Total Line for MEDICAID
DAYS LESS
SWING BED
DAYS
(See Note 1)</v>
      </c>
      <c r="W94" s="1501"/>
      <c r="AB94">
        <v>20900</v>
      </c>
      <c r="AC94">
        <v>4114187</v>
      </c>
      <c r="AD94" t="s">
        <v>851</v>
      </c>
      <c r="AE94">
        <v>4114187</v>
      </c>
      <c r="AF94">
        <v>1418</v>
      </c>
      <c r="AG94" s="1860">
        <v>39814</v>
      </c>
      <c r="AH94" s="1860">
        <v>523456</v>
      </c>
      <c r="AI94" t="s">
        <v>775</v>
      </c>
      <c r="AJ94" t="s">
        <v>775</v>
      </c>
      <c r="AK94" t="s">
        <v>868</v>
      </c>
      <c r="AN94" t="str">
        <f t="shared" si="2"/>
        <v>42046081134169493</v>
      </c>
      <c r="AO94" t="str">
        <f t="shared" si="3"/>
        <v>4204608100319400</v>
      </c>
      <c r="AP94" s="1758" t="s">
        <v>774</v>
      </c>
      <c r="AQ94" s="1759">
        <v>4204608</v>
      </c>
      <c r="AR94" s="1758" t="s">
        <v>775</v>
      </c>
      <c r="AS94" s="1758">
        <v>30900</v>
      </c>
      <c r="AT94" s="1759">
        <v>30900</v>
      </c>
      <c r="AU94" s="1758">
        <v>1134169493</v>
      </c>
      <c r="AV94" s="1758">
        <v>1134169493</v>
      </c>
      <c r="AW94" s="1758">
        <v>100319400</v>
      </c>
      <c r="AX94" s="1758" t="s">
        <v>775</v>
      </c>
      <c r="AY94" s="1758" t="s">
        <v>775</v>
      </c>
      <c r="AZ94" s="1758" t="s">
        <v>775</v>
      </c>
      <c r="BA94" s="1758" t="s">
        <v>775</v>
      </c>
      <c r="BB94" s="1758" t="s">
        <v>775</v>
      </c>
      <c r="BC94" t="s">
        <v>775</v>
      </c>
      <c r="BD94" t="s">
        <v>775</v>
      </c>
    </row>
    <row r="95" spans="1:56" ht="51.75">
      <c r="A95" t="str">
        <f>IF(ABS(Schedule_M!G21-Schedule_M!H21-Schedule_M!I21)&lt;0.999,"Correct","Error")</f>
        <v>Correct</v>
      </c>
      <c r="B95" s="1510" t="s">
        <v>1137</v>
      </c>
      <c r="C95" t="s">
        <v>546</v>
      </c>
      <c r="D95" s="1501">
        <f>Schedule_M!B21</f>
        <v>14</v>
      </c>
      <c r="E95" s="1753" t="str">
        <f>"Total Line for "&amp;Schedule_M!I6</f>
        <v>Total Line for MEDICAID
PAYMENTS LESS
SWING BED PAYMENTS
(Column 4 - Column 5)</v>
      </c>
      <c r="AB95">
        <v>19100</v>
      </c>
      <c r="AC95">
        <v>4114195</v>
      </c>
      <c r="AD95" t="s">
        <v>851</v>
      </c>
      <c r="AE95">
        <v>4114195</v>
      </c>
      <c r="AF95">
        <v>1419</v>
      </c>
      <c r="AG95" s="1860">
        <v>39814</v>
      </c>
      <c r="AH95" s="1860">
        <v>523456</v>
      </c>
      <c r="AI95" t="s">
        <v>775</v>
      </c>
      <c r="AJ95" t="s">
        <v>775</v>
      </c>
      <c r="AK95" t="s">
        <v>869</v>
      </c>
      <c r="AN95" t="str">
        <f t="shared" si="2"/>
        <v>41124961518977065</v>
      </c>
      <c r="AO95" t="str">
        <f t="shared" si="3"/>
        <v>4112496101239300</v>
      </c>
      <c r="AP95" s="1758" t="s">
        <v>774</v>
      </c>
      <c r="AQ95" s="1759">
        <v>4112496</v>
      </c>
      <c r="AR95" s="1758" t="s">
        <v>775</v>
      </c>
      <c r="AS95" s="1758">
        <v>24000</v>
      </c>
      <c r="AT95" s="1759">
        <v>24000</v>
      </c>
      <c r="AU95" s="1758">
        <v>1518977065</v>
      </c>
      <c r="AV95" s="1758">
        <v>1518977065</v>
      </c>
      <c r="AW95" s="1758">
        <v>101239300</v>
      </c>
      <c r="AX95" s="1758" t="s">
        <v>775</v>
      </c>
      <c r="AY95" s="1758" t="s">
        <v>775</v>
      </c>
      <c r="AZ95" s="1758" t="s">
        <v>775</v>
      </c>
      <c r="BA95" s="1758" t="s">
        <v>775</v>
      </c>
      <c r="BB95" s="1758" t="s">
        <v>775</v>
      </c>
      <c r="BC95" t="s">
        <v>775</v>
      </c>
      <c r="BD95" t="s">
        <v>775</v>
      </c>
    </row>
    <row r="96" spans="1:56" ht="12" customHeight="1">
      <c r="A96" t="str">
        <f>IF(AND(_C001022&gt;0,_C000343&gt;0),"Correct",IF(AND(_C001022=0,_C000343=0),"Correct","Error"))</f>
        <v>Correct</v>
      </c>
      <c r="B96" s="1510" t="s">
        <v>1008</v>
      </c>
      <c r="C96" t="s">
        <v>684</v>
      </c>
      <c r="D96" s="1501" t="str">
        <f>Schedule_N!I27</f>
        <v>19.  NUMBER OF SWING BEDS</v>
      </c>
      <c r="AB96">
        <v>8500</v>
      </c>
      <c r="AC96">
        <v>4115341</v>
      </c>
      <c r="AD96" t="s">
        <v>851</v>
      </c>
      <c r="AE96">
        <v>4115341</v>
      </c>
      <c r="AF96">
        <v>1534</v>
      </c>
      <c r="AG96" s="1860">
        <v>42401</v>
      </c>
      <c r="AH96" s="1860">
        <v>523456</v>
      </c>
      <c r="AI96" t="s">
        <v>775</v>
      </c>
      <c r="AJ96" t="s">
        <v>775</v>
      </c>
      <c r="AK96" t="s">
        <v>870</v>
      </c>
      <c r="AN96" t="str">
        <f t="shared" si="2"/>
        <v>41116961881639169</v>
      </c>
      <c r="AO96" t="str">
        <f t="shared" si="3"/>
        <v>4111696102125400</v>
      </c>
      <c r="AP96" s="1758" t="s">
        <v>774</v>
      </c>
      <c r="AQ96" s="1759">
        <v>4111696</v>
      </c>
      <c r="AR96" s="1758" t="s">
        <v>775</v>
      </c>
      <c r="AS96" s="1758">
        <v>40040</v>
      </c>
      <c r="AT96" s="1759">
        <v>40040</v>
      </c>
      <c r="AU96" s="1758">
        <v>1881639169</v>
      </c>
      <c r="AV96" s="1758">
        <v>1881639169</v>
      </c>
      <c r="AW96" s="1758">
        <v>102125400</v>
      </c>
      <c r="AX96" s="1758" t="s">
        <v>775</v>
      </c>
      <c r="AY96" s="1758" t="s">
        <v>775</v>
      </c>
      <c r="AZ96" s="1758" t="s">
        <v>775</v>
      </c>
      <c r="BA96" s="1758" t="s">
        <v>775</v>
      </c>
      <c r="BB96" s="1758" t="s">
        <v>775</v>
      </c>
      <c r="BC96" t="s">
        <v>775</v>
      </c>
      <c r="BD96" t="s">
        <v>775</v>
      </c>
    </row>
    <row r="97" spans="1:56" ht="12" customHeight="1">
      <c r="A97" t="str">
        <f>IF(ABS(_C000337+_C000391+_C904129+_C000404+_C000417+_C000430+_C903656-_C773078)&lt;0.999,"Correct","Error")</f>
        <v>Correct</v>
      </c>
      <c r="B97" s="1510" t="s">
        <v>1009</v>
      </c>
      <c r="C97" t="s">
        <v>547</v>
      </c>
      <c r="D97" s="1501">
        <f>Schedule_N!B20</f>
        <v>13</v>
      </c>
      <c r="E97" s="1501" t="str">
        <f>"Total for "&amp;Schedule_N!K6</f>
        <v>Total for TOTAL
PATIENT DAYS</v>
      </c>
      <c r="F97" t="str">
        <f>Schedule_N!D6</f>
        <v>MEDICAID DAYS
LESS SWING
BED DAYS
(Schedule M, Column 3)</v>
      </c>
      <c r="AB97">
        <v>39930</v>
      </c>
      <c r="AC97">
        <v>4115741</v>
      </c>
      <c r="AD97" t="s">
        <v>851</v>
      </c>
      <c r="AE97">
        <v>4115741</v>
      </c>
      <c r="AF97">
        <v>1574</v>
      </c>
      <c r="AG97" s="1860">
        <v>43317</v>
      </c>
      <c r="AH97" s="1860">
        <v>523456</v>
      </c>
      <c r="AI97" t="s">
        <v>775</v>
      </c>
      <c r="AJ97" t="s">
        <v>775</v>
      </c>
      <c r="AK97" t="s">
        <v>780</v>
      </c>
      <c r="AN97" t="str">
        <f t="shared" si="2"/>
        <v>4110870NULL</v>
      </c>
      <c r="AO97" t="str">
        <f t="shared" si="3"/>
        <v>4110870NULL</v>
      </c>
      <c r="AP97" s="1758" t="s">
        <v>774</v>
      </c>
      <c r="AQ97" s="1759">
        <v>4110870</v>
      </c>
      <c r="AR97" s="1758" t="s">
        <v>775</v>
      </c>
      <c r="AS97" s="1758">
        <v>24300</v>
      </c>
      <c r="AT97" s="1759">
        <v>24300</v>
      </c>
      <c r="AU97" s="1758" t="s">
        <v>775</v>
      </c>
      <c r="AV97" s="1758">
        <v>0</v>
      </c>
      <c r="AW97" s="1758" t="s">
        <v>775</v>
      </c>
      <c r="AX97" s="1758" t="s">
        <v>775</v>
      </c>
      <c r="AY97" s="1758" t="s">
        <v>775</v>
      </c>
      <c r="AZ97" s="1758" t="s">
        <v>775</v>
      </c>
      <c r="BA97" s="1758" t="s">
        <v>775</v>
      </c>
      <c r="BB97" s="1758" t="s">
        <v>775</v>
      </c>
      <c r="BC97" t="s">
        <v>775</v>
      </c>
      <c r="BD97" t="s">
        <v>775</v>
      </c>
    </row>
    <row r="98" spans="1:56" ht="12" customHeight="1">
      <c r="A98" t="str">
        <f>IF(_C000443&gt;0,"Correct","Error")</f>
        <v>Error</v>
      </c>
      <c r="B98" s="1510" t="s">
        <v>1138</v>
      </c>
      <c r="C98" t="s">
        <v>547</v>
      </c>
      <c r="D98" s="1501">
        <f>Schedule_N!B22</f>
        <v>14</v>
      </c>
      <c r="E98" s="1501" t="str">
        <f>Schedule_N!C22</f>
        <v>TOTAL LICENSED BEDS  </v>
      </c>
      <c r="AB98">
        <v>40040</v>
      </c>
      <c r="AC98">
        <v>4115751</v>
      </c>
      <c r="AD98" t="s">
        <v>851</v>
      </c>
      <c r="AE98">
        <v>4115751</v>
      </c>
      <c r="AF98">
        <v>1575</v>
      </c>
      <c r="AG98" s="1860">
        <v>43317</v>
      </c>
      <c r="AH98" s="1860">
        <v>523456</v>
      </c>
      <c r="AI98" t="s">
        <v>775</v>
      </c>
      <c r="AJ98" t="s">
        <v>775</v>
      </c>
      <c r="AK98" t="s">
        <v>779</v>
      </c>
      <c r="AN98" t="str">
        <f t="shared" si="2"/>
        <v>41119511073567277</v>
      </c>
      <c r="AO98" t="str">
        <f t="shared" si="3"/>
        <v>4111951104274000</v>
      </c>
      <c r="AP98" s="1758" t="s">
        <v>774</v>
      </c>
      <c r="AQ98" s="1759">
        <v>4111951</v>
      </c>
      <c r="AR98" s="1758" t="s">
        <v>775</v>
      </c>
      <c r="AS98" s="1758">
        <v>32400</v>
      </c>
      <c r="AT98" s="1759">
        <v>32400</v>
      </c>
      <c r="AU98" s="1758">
        <v>1073567277</v>
      </c>
      <c r="AV98" s="1758">
        <v>1073567277</v>
      </c>
      <c r="AW98" s="1758">
        <v>104274000</v>
      </c>
      <c r="AX98" s="1758" t="s">
        <v>775</v>
      </c>
      <c r="AY98" s="1758" t="s">
        <v>775</v>
      </c>
      <c r="AZ98" s="1758" t="s">
        <v>775</v>
      </c>
      <c r="BA98" s="1758" t="s">
        <v>775</v>
      </c>
      <c r="BB98" s="1758" t="s">
        <v>775</v>
      </c>
      <c r="BC98" t="s">
        <v>775</v>
      </c>
      <c r="BD98" t="s">
        <v>775</v>
      </c>
    </row>
    <row r="99" spans="1:56" ht="12" customHeight="1">
      <c r="A99" t="str">
        <f>Schedule_N!N21</f>
        <v>Correct</v>
      </c>
      <c r="B99" s="1510" t="s">
        <v>1139</v>
      </c>
      <c r="C99" t="s">
        <v>547</v>
      </c>
      <c r="D99" s="1501">
        <f>Schedule_N!B22</f>
        <v>14</v>
      </c>
      <c r="E99" s="1501" t="str">
        <f>Schedule_N!C22&amp;" and "&amp;Schedule_N!L6</f>
        <v>TOTAL LICENSED BEDS   and LICENSED BEDS
(Licensed Bed Count by Month)</v>
      </c>
      <c r="AB99">
        <v>29010</v>
      </c>
      <c r="AC99">
        <v>4115761</v>
      </c>
      <c r="AD99" t="s">
        <v>851</v>
      </c>
      <c r="AE99">
        <v>4115761</v>
      </c>
      <c r="AF99">
        <v>1576</v>
      </c>
      <c r="AG99" s="1860">
        <v>43317</v>
      </c>
      <c r="AH99" s="1860">
        <v>523456</v>
      </c>
      <c r="AI99" t="s">
        <v>775</v>
      </c>
      <c r="AJ99" t="s">
        <v>775</v>
      </c>
      <c r="AK99" t="s">
        <v>782</v>
      </c>
      <c r="AN99" t="str">
        <f t="shared" si="2"/>
        <v>41131631093763393</v>
      </c>
      <c r="AO99" t="str">
        <f t="shared" si="3"/>
        <v>4113163100222600</v>
      </c>
      <c r="AP99" s="1758" t="s">
        <v>774</v>
      </c>
      <c r="AQ99" s="1759">
        <v>4113163</v>
      </c>
      <c r="AR99" s="1758" t="s">
        <v>775</v>
      </c>
      <c r="AS99" s="1758">
        <v>13100</v>
      </c>
      <c r="AT99" s="1760">
        <v>13100</v>
      </c>
      <c r="AU99" s="1758">
        <v>1093763393</v>
      </c>
      <c r="AV99" s="1758">
        <v>1093763393</v>
      </c>
      <c r="AW99" s="1758">
        <v>100222600</v>
      </c>
      <c r="AX99" s="1758" t="s">
        <v>775</v>
      </c>
      <c r="AY99" s="1758" t="s">
        <v>775</v>
      </c>
      <c r="AZ99" s="1758" t="s">
        <v>775</v>
      </c>
      <c r="BA99" s="1758" t="s">
        <v>775</v>
      </c>
      <c r="BB99" s="1758" t="s">
        <v>775</v>
      </c>
      <c r="BC99" t="s">
        <v>775</v>
      </c>
      <c r="BD99" t="s">
        <v>775</v>
      </c>
    </row>
    <row r="100" spans="1:56" ht="12" customHeight="1">
      <c r="A100" t="str">
        <f>IF(_C000339="","Error","Correct")</f>
        <v>Error</v>
      </c>
      <c r="B100" s="1510" t="s">
        <v>1140</v>
      </c>
      <c r="C100" t="s">
        <v>547</v>
      </c>
      <c r="D100" s="1501" t="str">
        <f>Schedule_N!I22</f>
        <v>17.  HOLD ROOM DAYS (See Note 3)</v>
      </c>
      <c r="AB100">
        <v>41020</v>
      </c>
      <c r="AC100">
        <v>4115771</v>
      </c>
      <c r="AD100" t="s">
        <v>851</v>
      </c>
      <c r="AE100">
        <v>4115771</v>
      </c>
      <c r="AF100">
        <v>1577</v>
      </c>
      <c r="AG100" s="1860">
        <v>43317</v>
      </c>
      <c r="AH100" s="1860">
        <v>523456</v>
      </c>
      <c r="AI100" t="s">
        <v>775</v>
      </c>
      <c r="AJ100" t="s">
        <v>775</v>
      </c>
      <c r="AK100" t="s">
        <v>784</v>
      </c>
      <c r="AN100" t="str">
        <f t="shared" si="2"/>
        <v>41095671235174517</v>
      </c>
      <c r="AO100" t="str">
        <f t="shared" si="3"/>
        <v>4109567104338300</v>
      </c>
      <c r="AP100" s="1758" t="s">
        <v>774</v>
      </c>
      <c r="AQ100" s="1759">
        <v>4109567</v>
      </c>
      <c r="AR100" s="1758" t="s">
        <v>775</v>
      </c>
      <c r="AS100" s="1758">
        <v>39930</v>
      </c>
      <c r="AT100" s="1759">
        <v>39930</v>
      </c>
      <c r="AU100" s="1758">
        <v>1235174517</v>
      </c>
      <c r="AV100" s="1758">
        <v>1235174517</v>
      </c>
      <c r="AW100" s="1758">
        <v>104338300</v>
      </c>
      <c r="AX100" s="1758" t="s">
        <v>775</v>
      </c>
      <c r="AY100" s="1758" t="s">
        <v>775</v>
      </c>
      <c r="AZ100" s="1758" t="s">
        <v>775</v>
      </c>
      <c r="BA100" s="1758" t="s">
        <v>775</v>
      </c>
      <c r="BB100" s="1758" t="s">
        <v>775</v>
      </c>
      <c r="BC100" t="s">
        <v>775</v>
      </c>
      <c r="BD100" t="s">
        <v>775</v>
      </c>
    </row>
    <row r="101" spans="1:56" ht="12" customHeight="1">
      <c r="A101" t="str">
        <f>IF(AND(_C000431&gt;0,_C901550&gt;0),"Correct",IF(AND(_C000431=0,_C901550=0),"Correct","Error"))</f>
        <v>Correct</v>
      </c>
      <c r="B101" s="1510" t="s">
        <v>1141</v>
      </c>
      <c r="C101" t="s">
        <v>547</v>
      </c>
      <c r="D101" s="1501">
        <f>Schedule_N!B8</f>
        <v>1</v>
      </c>
      <c r="E101" s="1501" t="str">
        <f>Schedule_N!C8</f>
        <v>JANUARY</v>
      </c>
      <c r="F101" t="str">
        <f>Schedule_N!K$6&amp;"and "&amp;Schedule_N!L$6</f>
        <v>TOTAL
PATIENT DAYSand LICENSED BEDS
(Licensed Bed Count by Month)</v>
      </c>
      <c r="AB101">
        <v>31570</v>
      </c>
      <c r="AC101">
        <v>4115781</v>
      </c>
      <c r="AD101" t="s">
        <v>851</v>
      </c>
      <c r="AE101">
        <v>4115781</v>
      </c>
      <c r="AF101">
        <v>1578</v>
      </c>
      <c r="AG101" s="1860">
        <v>43317</v>
      </c>
      <c r="AH101" s="1860">
        <v>523456</v>
      </c>
      <c r="AI101" t="s">
        <v>775</v>
      </c>
      <c r="AJ101" t="s">
        <v>775</v>
      </c>
      <c r="AK101" t="s">
        <v>781</v>
      </c>
      <c r="AN101" t="str">
        <f t="shared" si="2"/>
        <v>42137081093819211</v>
      </c>
      <c r="AO101" t="str">
        <f t="shared" si="3"/>
        <v>4213708100027900</v>
      </c>
      <c r="AP101" s="1758" t="s">
        <v>774</v>
      </c>
      <c r="AQ101" s="1759">
        <v>4213708</v>
      </c>
      <c r="AR101" s="1758" t="s">
        <v>775</v>
      </c>
      <c r="AS101" s="1758">
        <v>31700</v>
      </c>
      <c r="AT101" s="1759">
        <v>31700</v>
      </c>
      <c r="AU101" s="1758">
        <v>1093819211</v>
      </c>
      <c r="AV101" s="1758">
        <v>1093819211</v>
      </c>
      <c r="AW101" s="1758">
        <v>100027900</v>
      </c>
      <c r="AX101" s="1758" t="s">
        <v>775</v>
      </c>
      <c r="AY101" s="1758" t="s">
        <v>775</v>
      </c>
      <c r="AZ101" s="1758" t="s">
        <v>775</v>
      </c>
      <c r="BA101" s="1758" t="s">
        <v>775</v>
      </c>
      <c r="BB101" s="1758" t="s">
        <v>775</v>
      </c>
      <c r="BC101" t="s">
        <v>775</v>
      </c>
      <c r="BD101" t="s">
        <v>775</v>
      </c>
    </row>
    <row r="102" spans="1:56" ht="12" customHeight="1">
      <c r="A102" t="str">
        <f>IF(AND(_C000432&gt;0,_C901551&gt;0),"Correct",IF(AND(_C000432=0,_C901551=0),"Correct","Error"))</f>
        <v>Correct</v>
      </c>
      <c r="B102" s="1510" t="s">
        <v>1141</v>
      </c>
      <c r="C102" t="s">
        <v>547</v>
      </c>
      <c r="D102" s="1501">
        <f>Schedule_N!B9</f>
        <v>2</v>
      </c>
      <c r="E102" s="1501" t="str">
        <f>Schedule_N!C9</f>
        <v>FEBRUARY</v>
      </c>
      <c r="F102" t="str">
        <f>Schedule_N!K$6&amp;"and "&amp;Schedule_N!L$6</f>
        <v>TOTAL
PATIENT DAYSand LICENSED BEDS
(Licensed Bed Count by Month)</v>
      </c>
      <c r="AB102">
        <v>40990</v>
      </c>
      <c r="AC102">
        <v>4115791</v>
      </c>
      <c r="AD102" t="s">
        <v>851</v>
      </c>
      <c r="AE102">
        <v>4115791</v>
      </c>
      <c r="AF102">
        <v>1579</v>
      </c>
      <c r="AG102" s="1860">
        <v>43317</v>
      </c>
      <c r="AH102" s="1860">
        <v>523456</v>
      </c>
      <c r="AI102" t="s">
        <v>775</v>
      </c>
      <c r="AJ102" t="s">
        <v>775</v>
      </c>
      <c r="AK102" t="s">
        <v>783</v>
      </c>
      <c r="AN102" t="str">
        <f t="shared" si="2"/>
        <v>42126011871660522</v>
      </c>
      <c r="AO102" t="str">
        <f t="shared" si="3"/>
        <v>4212601102115900</v>
      </c>
      <c r="AP102" s="1758" t="s">
        <v>774</v>
      </c>
      <c r="AQ102" s="1759">
        <v>4212601</v>
      </c>
      <c r="AR102" s="1758" t="s">
        <v>775</v>
      </c>
      <c r="AS102" s="1758">
        <v>39970</v>
      </c>
      <c r="AT102" s="1759">
        <v>39970</v>
      </c>
      <c r="AU102" s="1758">
        <v>1871660522</v>
      </c>
      <c r="AV102" s="1758">
        <v>1871660522</v>
      </c>
      <c r="AW102" s="1758">
        <v>102115900</v>
      </c>
      <c r="AX102" s="1758" t="s">
        <v>775</v>
      </c>
      <c r="AY102" s="1758" t="s">
        <v>775</v>
      </c>
      <c r="AZ102" s="1758" t="s">
        <v>775</v>
      </c>
      <c r="BA102" s="1758" t="s">
        <v>775</v>
      </c>
      <c r="BB102" s="1758" t="s">
        <v>775</v>
      </c>
      <c r="BC102" t="s">
        <v>775</v>
      </c>
      <c r="BD102" t="s">
        <v>775</v>
      </c>
    </row>
    <row r="103" spans="1:56" ht="12" customHeight="1">
      <c r="A103" t="str">
        <f>IF(AND(_C000433&gt;0,_C901552&gt;0),"Correct",IF(AND(_C000433=0,_C901552=0),"Correct","Error"))</f>
        <v>Correct</v>
      </c>
      <c r="B103" s="1510" t="s">
        <v>1141</v>
      </c>
      <c r="C103" t="s">
        <v>547</v>
      </c>
      <c r="D103" s="1501">
        <f>Schedule_N!B10</f>
        <v>3</v>
      </c>
      <c r="E103" s="1501" t="str">
        <f>Schedule_N!C10</f>
        <v>MARCH</v>
      </c>
      <c r="F103" t="str">
        <f>Schedule_N!K$6&amp;"and "&amp;Schedule_N!L$6</f>
        <v>TOTAL
PATIENT DAYSand LICENSED BEDS
(Licensed Bed Count by Month)</v>
      </c>
      <c r="AB103">
        <v>5500</v>
      </c>
      <c r="AC103">
        <v>4115801</v>
      </c>
      <c r="AD103" t="s">
        <v>851</v>
      </c>
      <c r="AE103">
        <v>4115801</v>
      </c>
      <c r="AF103">
        <v>1580</v>
      </c>
      <c r="AG103" s="1860">
        <v>43335</v>
      </c>
      <c r="AH103" s="1860">
        <v>523456</v>
      </c>
      <c r="AI103" t="s">
        <v>775</v>
      </c>
      <c r="AJ103" t="s">
        <v>775</v>
      </c>
      <c r="AK103" t="s">
        <v>786</v>
      </c>
      <c r="AN103" t="str">
        <f t="shared" si="2"/>
        <v>41141461316125321</v>
      </c>
      <c r="AO103" t="str">
        <f t="shared" si="3"/>
        <v>4114146108514800</v>
      </c>
      <c r="AP103" s="1758" t="s">
        <v>774</v>
      </c>
      <c r="AQ103" s="1759">
        <v>4114146</v>
      </c>
      <c r="AR103" s="1758" t="s">
        <v>775</v>
      </c>
      <c r="AS103" s="1758">
        <v>24000</v>
      </c>
      <c r="AT103" s="1759">
        <v>24000</v>
      </c>
      <c r="AU103" s="1758">
        <v>1316125321</v>
      </c>
      <c r="AV103" s="1758">
        <v>1316125321</v>
      </c>
      <c r="AW103" s="1758">
        <v>108514800</v>
      </c>
      <c r="AX103" s="1758" t="s">
        <v>775</v>
      </c>
      <c r="AY103" s="1758" t="s">
        <v>775</v>
      </c>
      <c r="AZ103" s="1758" t="s">
        <v>775</v>
      </c>
      <c r="BA103" s="1758" t="s">
        <v>775</v>
      </c>
      <c r="BB103" s="1758" t="s">
        <v>775</v>
      </c>
      <c r="BC103" t="s">
        <v>775</v>
      </c>
      <c r="BD103" t="s">
        <v>775</v>
      </c>
    </row>
    <row r="104" spans="1:56" ht="12" customHeight="1">
      <c r="A104" t="str">
        <f>IF(AND(_C000434&gt;0,_C901553&gt;0),"Correct",IF(AND(_C000434=0,_C901553=0),"Correct","Error"))</f>
        <v>Correct</v>
      </c>
      <c r="B104" s="1510" t="s">
        <v>1141</v>
      </c>
      <c r="C104" t="s">
        <v>547</v>
      </c>
      <c r="D104" s="1501">
        <f>Schedule_N!B11</f>
        <v>4</v>
      </c>
      <c r="E104" s="1501" t="str">
        <f>Schedule_N!C11</f>
        <v>APRIL</v>
      </c>
      <c r="F104" t="str">
        <f>Schedule_N!K$6&amp;"and "&amp;Schedule_N!L$6</f>
        <v>TOTAL
PATIENT DAYSand LICENSED BEDS
(Licensed Bed Count by Month)</v>
      </c>
      <c r="AB104">
        <v>26060</v>
      </c>
      <c r="AC104">
        <v>4115811</v>
      </c>
      <c r="AD104" t="s">
        <v>851</v>
      </c>
      <c r="AE104">
        <v>4115811</v>
      </c>
      <c r="AF104">
        <v>1581</v>
      </c>
      <c r="AG104" s="1860">
        <v>43335</v>
      </c>
      <c r="AH104" s="1860">
        <v>523456</v>
      </c>
      <c r="AI104" t="s">
        <v>775</v>
      </c>
      <c r="AJ104" t="s">
        <v>775</v>
      </c>
      <c r="AK104" t="s">
        <v>785</v>
      </c>
      <c r="AN104" t="str">
        <f t="shared" si="2"/>
        <v>41122491942295993</v>
      </c>
      <c r="AO104" t="str">
        <f t="shared" si="3"/>
        <v>4112249102281000</v>
      </c>
      <c r="AP104" s="1758" t="s">
        <v>774</v>
      </c>
      <c r="AQ104" s="1759">
        <v>4112249</v>
      </c>
      <c r="AR104" s="1758" t="s">
        <v>775</v>
      </c>
      <c r="AS104" s="1758">
        <v>13400</v>
      </c>
      <c r="AT104" s="1759">
        <v>13400</v>
      </c>
      <c r="AU104" s="1758">
        <v>1942295993</v>
      </c>
      <c r="AV104" s="1758">
        <v>1942295993</v>
      </c>
      <c r="AW104" s="1758">
        <v>102281000</v>
      </c>
      <c r="AX104" s="1758" t="s">
        <v>775</v>
      </c>
      <c r="AY104" s="1758" t="s">
        <v>775</v>
      </c>
      <c r="AZ104" s="1758" t="s">
        <v>775</v>
      </c>
      <c r="BA104" s="1758" t="s">
        <v>775</v>
      </c>
      <c r="BB104" s="1758" t="s">
        <v>775</v>
      </c>
      <c r="BC104" t="s">
        <v>775</v>
      </c>
      <c r="BD104" t="s">
        <v>775</v>
      </c>
    </row>
    <row r="105" spans="1:56" ht="12" customHeight="1">
      <c r="A105" t="str">
        <f>IF(AND(_C000435&gt;0,_C901554&gt;0),"Correct",IF(AND(_C000435=0,_C901554=0),"Correct","Error"))</f>
        <v>Correct</v>
      </c>
      <c r="B105" s="1510" t="s">
        <v>1141</v>
      </c>
      <c r="C105" t="s">
        <v>547</v>
      </c>
      <c r="D105" s="1501">
        <f>Schedule_N!B12</f>
        <v>5</v>
      </c>
      <c r="E105" s="1501" t="str">
        <f>Schedule_N!C12</f>
        <v>MAY</v>
      </c>
      <c r="F105" t="str">
        <f>Schedule_N!K$6&amp;"and "&amp;Schedule_N!L$6</f>
        <v>TOTAL
PATIENT DAYSand LICENSED BEDS
(Licensed Bed Count by Month)</v>
      </c>
      <c r="AB105">
        <v>10500</v>
      </c>
      <c r="AC105">
        <v>4115821</v>
      </c>
      <c r="AD105" t="s">
        <v>851</v>
      </c>
      <c r="AE105">
        <v>4115821</v>
      </c>
      <c r="AF105">
        <v>1582</v>
      </c>
      <c r="AG105" s="1860">
        <v>43335</v>
      </c>
      <c r="AH105" s="1860">
        <v>523456</v>
      </c>
      <c r="AI105" t="s">
        <v>775</v>
      </c>
      <c r="AJ105" t="s">
        <v>775</v>
      </c>
      <c r="AK105" t="s">
        <v>1013</v>
      </c>
      <c r="AN105" t="str">
        <f t="shared" si="2"/>
        <v>4172409NULL</v>
      </c>
      <c r="AO105" t="str">
        <f t="shared" si="3"/>
        <v>4172409NULL</v>
      </c>
      <c r="AP105" s="1758" t="s">
        <v>774</v>
      </c>
      <c r="AQ105" s="1759">
        <v>4172409</v>
      </c>
      <c r="AR105" s="1758" t="s">
        <v>775</v>
      </c>
      <c r="AS105" s="1758">
        <v>9300</v>
      </c>
      <c r="AT105" s="1759">
        <v>9300</v>
      </c>
      <c r="AU105" s="1758" t="s">
        <v>775</v>
      </c>
      <c r="AV105" s="1758">
        <v>0</v>
      </c>
      <c r="AW105" s="1758" t="s">
        <v>775</v>
      </c>
      <c r="AX105" s="1758" t="s">
        <v>775</v>
      </c>
      <c r="AY105" s="1758" t="s">
        <v>775</v>
      </c>
      <c r="AZ105" s="1758" t="s">
        <v>775</v>
      </c>
      <c r="BA105" s="1758" t="s">
        <v>775</v>
      </c>
      <c r="BB105" s="1758" t="s">
        <v>775</v>
      </c>
      <c r="BC105" t="s">
        <v>775</v>
      </c>
      <c r="BD105" t="s">
        <v>775</v>
      </c>
    </row>
    <row r="106" spans="1:56" ht="12" customHeight="1">
      <c r="A106" t="str">
        <f>IF(AND(_C000436&gt;0,_C901555&gt;0),"Correct",IF(AND(_C000436=0,_C901555=0),"Correct","Error"))</f>
        <v>Correct</v>
      </c>
      <c r="B106" s="1510" t="s">
        <v>1141</v>
      </c>
      <c r="C106" t="s">
        <v>547</v>
      </c>
      <c r="D106" s="1501">
        <f>Schedule_N!B13</f>
        <v>6</v>
      </c>
      <c r="E106" s="1501" t="str">
        <f>Schedule_N!C13</f>
        <v>JUNE</v>
      </c>
      <c r="F106" t="str">
        <f>Schedule_N!K$6&amp;"and "&amp;Schedule_N!L$6</f>
        <v>TOTAL
PATIENT DAYSand LICENSED BEDS
(Licensed Bed Count by Month)</v>
      </c>
      <c r="AB106">
        <v>9900</v>
      </c>
      <c r="AC106">
        <v>4115831</v>
      </c>
      <c r="AD106" t="s">
        <v>851</v>
      </c>
      <c r="AE106">
        <v>4115831</v>
      </c>
      <c r="AF106">
        <v>1583</v>
      </c>
      <c r="AG106" s="1860">
        <v>43335</v>
      </c>
      <c r="AH106" s="1860">
        <v>523456</v>
      </c>
      <c r="AI106" t="s">
        <v>775</v>
      </c>
      <c r="AJ106" t="s">
        <v>775</v>
      </c>
      <c r="AK106" t="s">
        <v>787</v>
      </c>
      <c r="AN106" t="str">
        <f t="shared" si="2"/>
        <v>4110318NULL</v>
      </c>
      <c r="AO106" t="str">
        <f t="shared" si="3"/>
        <v>4110318NULL</v>
      </c>
      <c r="AP106" s="1758" t="s">
        <v>774</v>
      </c>
      <c r="AQ106" s="1759">
        <v>4110318</v>
      </c>
      <c r="AR106" s="1758" t="s">
        <v>775</v>
      </c>
      <c r="AS106" s="1758">
        <v>10500</v>
      </c>
      <c r="AT106" s="1759">
        <v>10500</v>
      </c>
      <c r="AU106" s="1758" t="s">
        <v>775</v>
      </c>
      <c r="AV106" s="1758">
        <v>0</v>
      </c>
      <c r="AW106" s="1758" t="s">
        <v>775</v>
      </c>
      <c r="AX106" s="1758" t="s">
        <v>775</v>
      </c>
      <c r="AY106" s="1758" t="s">
        <v>775</v>
      </c>
      <c r="AZ106" s="1758" t="s">
        <v>775</v>
      </c>
      <c r="BA106" s="1758" t="s">
        <v>775</v>
      </c>
      <c r="BB106" s="1758" t="s">
        <v>775</v>
      </c>
      <c r="BC106" t="s">
        <v>775</v>
      </c>
      <c r="BD106" t="s">
        <v>775</v>
      </c>
    </row>
    <row r="107" spans="1:56" ht="12" customHeight="1">
      <c r="A107" t="str">
        <f>IF(AND(_C000437&gt;0,_C901556&gt;0),"Correct",IF(AND(_C000437=0,_C901556=0),"Correct","Error"))</f>
        <v>Correct</v>
      </c>
      <c r="B107" s="1510" t="s">
        <v>1141</v>
      </c>
      <c r="C107" t="s">
        <v>547</v>
      </c>
      <c r="D107" s="1501">
        <f>Schedule_N!B14</f>
        <v>7</v>
      </c>
      <c r="E107" s="1501" t="str">
        <f>Schedule_N!C14</f>
        <v>JULY</v>
      </c>
      <c r="F107" t="str">
        <f>Schedule_N!K$6&amp;"and "&amp;Schedule_N!L$6</f>
        <v>TOTAL
PATIENT DAYSand LICENSED BEDS
(Licensed Bed Count by Month)</v>
      </c>
      <c r="AB107">
        <v>31590</v>
      </c>
      <c r="AC107">
        <v>4205407</v>
      </c>
      <c r="AD107" t="s">
        <v>851</v>
      </c>
      <c r="AE107">
        <v>4205407</v>
      </c>
      <c r="AF107">
        <v>54</v>
      </c>
      <c r="AG107" s="1860">
        <v>28491</v>
      </c>
      <c r="AH107" s="1860">
        <v>523456</v>
      </c>
      <c r="AI107" t="s">
        <v>775</v>
      </c>
      <c r="AJ107" t="s">
        <v>775</v>
      </c>
      <c r="AK107" t="s">
        <v>871</v>
      </c>
      <c r="AN107" t="str">
        <f t="shared" si="2"/>
        <v>4176103NULL</v>
      </c>
      <c r="AO107" t="str">
        <f t="shared" si="3"/>
        <v>4176103NULL</v>
      </c>
      <c r="AP107" s="1758" t="s">
        <v>774</v>
      </c>
      <c r="AQ107" s="1759">
        <v>4176103</v>
      </c>
      <c r="AR107" s="1758" t="s">
        <v>775</v>
      </c>
      <c r="AS107" s="1758">
        <v>15000</v>
      </c>
      <c r="AT107" s="1760">
        <v>15000</v>
      </c>
      <c r="AU107" s="1758" t="s">
        <v>775</v>
      </c>
      <c r="AV107" s="1758">
        <v>0</v>
      </c>
      <c r="AW107" s="1758" t="s">
        <v>775</v>
      </c>
      <c r="AX107" s="1758" t="s">
        <v>775</v>
      </c>
      <c r="AY107" s="1758" t="s">
        <v>775</v>
      </c>
      <c r="AZ107" s="1758" t="s">
        <v>775</v>
      </c>
      <c r="BA107" s="1758" t="s">
        <v>775</v>
      </c>
      <c r="BB107" s="1758" t="s">
        <v>775</v>
      </c>
      <c r="BC107" t="s">
        <v>775</v>
      </c>
      <c r="BD107" t="s">
        <v>775</v>
      </c>
    </row>
    <row r="108" spans="1:56" ht="12" customHeight="1">
      <c r="A108" t="str">
        <f>IF(AND(_C000438&gt;0,_C901557&gt;0),"Correct",IF(AND(_C000438=0,_C901557=0),"Correct","Error"))</f>
        <v>Correct</v>
      </c>
      <c r="B108" s="1510" t="s">
        <v>1141</v>
      </c>
      <c r="C108" t="s">
        <v>547</v>
      </c>
      <c r="D108" s="1501">
        <f>Schedule_N!B15</f>
        <v>8</v>
      </c>
      <c r="E108" s="1501" t="str">
        <f>Schedule_N!C15</f>
        <v>AUGUST</v>
      </c>
      <c r="F108" t="str">
        <f>Schedule_N!K$6&amp;"and "&amp;Schedule_N!L$6</f>
        <v>TOTAL
PATIENT DAYSand LICENSED BEDS
(Licensed Bed Count by Month)</v>
      </c>
      <c r="AB108">
        <v>40280</v>
      </c>
      <c r="AC108">
        <v>4111134</v>
      </c>
      <c r="AD108" t="s">
        <v>873</v>
      </c>
      <c r="AE108">
        <v>4111134</v>
      </c>
      <c r="AF108">
        <v>1113</v>
      </c>
      <c r="AG108" s="1860">
        <v>34128</v>
      </c>
      <c r="AH108" s="1860">
        <v>523456</v>
      </c>
      <c r="AI108" t="s">
        <v>775</v>
      </c>
      <c r="AJ108" t="s">
        <v>775</v>
      </c>
      <c r="AK108" t="s">
        <v>874</v>
      </c>
      <c r="AN108" t="str">
        <f t="shared" si="2"/>
        <v>4179404NULL</v>
      </c>
      <c r="AO108" t="str">
        <f t="shared" si="3"/>
        <v>4179404NULL</v>
      </c>
      <c r="AP108" s="1758" t="s">
        <v>774</v>
      </c>
      <c r="AQ108" s="1759">
        <v>4179404</v>
      </c>
      <c r="AR108" s="1758" t="s">
        <v>775</v>
      </c>
      <c r="AS108" s="1758">
        <v>3500</v>
      </c>
      <c r="AT108" s="1760">
        <v>3500</v>
      </c>
      <c r="AU108" s="1758" t="s">
        <v>775</v>
      </c>
      <c r="AV108" s="1758">
        <v>0</v>
      </c>
      <c r="AW108" s="1758" t="s">
        <v>775</v>
      </c>
      <c r="AX108" s="1758" t="s">
        <v>775</v>
      </c>
      <c r="AY108" s="1758" t="s">
        <v>775</v>
      </c>
      <c r="AZ108" s="1758" t="s">
        <v>775</v>
      </c>
      <c r="BA108" s="1758" t="s">
        <v>775</v>
      </c>
      <c r="BB108" s="1758" t="s">
        <v>775</v>
      </c>
      <c r="BC108" t="s">
        <v>775</v>
      </c>
      <c r="BD108" t="s">
        <v>775</v>
      </c>
    </row>
    <row r="109" spans="1:56" ht="12" customHeight="1">
      <c r="A109" t="str">
        <f>IF(AND(_C000439&gt;0,_C901558&gt;0),"Correct",IF(AND(_C000439=0,_C901558=0),"Correct","Error"))</f>
        <v>Correct</v>
      </c>
      <c r="B109" s="1510" t="s">
        <v>1141</v>
      </c>
      <c r="C109" t="s">
        <v>547</v>
      </c>
      <c r="D109" s="1501">
        <f>Schedule_N!B16</f>
        <v>9</v>
      </c>
      <c r="E109" s="1501" t="str">
        <f>Schedule_N!C16</f>
        <v>SEPTEMBER</v>
      </c>
      <c r="F109" t="str">
        <f>Schedule_N!K$6&amp;"and "&amp;Schedule_N!L$6</f>
        <v>TOTAL
PATIENT DAYSand LICENSED BEDS
(Licensed Bed Count by Month)</v>
      </c>
      <c r="AB109">
        <v>6600</v>
      </c>
      <c r="AC109">
        <v>4111662</v>
      </c>
      <c r="AD109" t="s">
        <v>873</v>
      </c>
      <c r="AE109">
        <v>4111662</v>
      </c>
      <c r="AF109">
        <v>1166</v>
      </c>
      <c r="AG109" s="1860">
        <v>34881</v>
      </c>
      <c r="AH109" s="1860">
        <v>523456</v>
      </c>
      <c r="AI109" t="s">
        <v>775</v>
      </c>
      <c r="AJ109" t="s">
        <v>775</v>
      </c>
      <c r="AK109" t="s">
        <v>875</v>
      </c>
      <c r="AN109" t="str">
        <f t="shared" si="2"/>
        <v>4176517NULL</v>
      </c>
      <c r="AO109" t="str">
        <f t="shared" si="3"/>
        <v>4176517NULL</v>
      </c>
      <c r="AP109" s="1758" t="s">
        <v>774</v>
      </c>
      <c r="AQ109" s="1759">
        <v>4176517</v>
      </c>
      <c r="AR109" s="1758" t="s">
        <v>775</v>
      </c>
      <c r="AS109" s="1758">
        <v>14400</v>
      </c>
      <c r="AT109" s="1760">
        <v>14400</v>
      </c>
      <c r="AU109" s="1758" t="s">
        <v>775</v>
      </c>
      <c r="AV109" s="1758">
        <v>0</v>
      </c>
      <c r="AW109" s="1758" t="s">
        <v>775</v>
      </c>
      <c r="AX109" s="1758" t="s">
        <v>775</v>
      </c>
      <c r="AY109" s="1758" t="s">
        <v>775</v>
      </c>
      <c r="AZ109" s="1758" t="s">
        <v>775</v>
      </c>
      <c r="BA109" s="1758" t="s">
        <v>775</v>
      </c>
      <c r="BB109" s="1758" t="s">
        <v>775</v>
      </c>
      <c r="BC109" t="s">
        <v>775</v>
      </c>
      <c r="BD109" t="s">
        <v>775</v>
      </c>
    </row>
    <row r="110" spans="1:56" ht="12" customHeight="1">
      <c r="A110" t="str">
        <f>IF(AND(_C000440&gt;0,_C901559&gt;0),"Correct",IF(AND(_C000440=0,_C901559=0),"Correct","Error"))</f>
        <v>Correct</v>
      </c>
      <c r="B110" s="1510" t="s">
        <v>1141</v>
      </c>
      <c r="C110" t="s">
        <v>547</v>
      </c>
      <c r="D110" s="1501">
        <f>Schedule_N!B17</f>
        <v>10</v>
      </c>
      <c r="E110" s="1501" t="str">
        <f>Schedule_N!C17</f>
        <v>OCTOBER</v>
      </c>
      <c r="F110" t="str">
        <f>Schedule_N!K$6&amp;"and "&amp;Schedule_N!L$6</f>
        <v>TOTAL
PATIENT DAYSand LICENSED BEDS
(Licensed Bed Count by Month)</v>
      </c>
      <c r="AB110">
        <v>40600</v>
      </c>
      <c r="AC110">
        <v>4112314</v>
      </c>
      <c r="AD110" t="s">
        <v>873</v>
      </c>
      <c r="AE110">
        <v>4112314</v>
      </c>
      <c r="AF110">
        <v>1231</v>
      </c>
      <c r="AG110" s="1860">
        <v>35677</v>
      </c>
      <c r="AH110" s="1860">
        <v>523456</v>
      </c>
      <c r="AI110" t="s">
        <v>775</v>
      </c>
      <c r="AJ110" t="s">
        <v>775</v>
      </c>
      <c r="AK110" t="s">
        <v>876</v>
      </c>
      <c r="AN110" t="str">
        <f t="shared" si="2"/>
        <v>4178901NULL</v>
      </c>
      <c r="AO110" t="str">
        <f t="shared" si="3"/>
        <v>4178901NULL</v>
      </c>
      <c r="AP110" s="1758" t="s">
        <v>774</v>
      </c>
      <c r="AQ110" s="1759">
        <v>4178901</v>
      </c>
      <c r="AR110" s="1758" t="s">
        <v>775</v>
      </c>
      <c r="AS110" s="1758">
        <v>24400</v>
      </c>
      <c r="AT110" s="1760">
        <v>24400</v>
      </c>
      <c r="AU110" s="1758" t="s">
        <v>775</v>
      </c>
      <c r="AV110" s="1758">
        <v>0</v>
      </c>
      <c r="AW110" s="1758" t="s">
        <v>775</v>
      </c>
      <c r="AX110" s="1758" t="s">
        <v>775</v>
      </c>
      <c r="AY110" s="1758" t="s">
        <v>775</v>
      </c>
      <c r="AZ110" s="1758" t="s">
        <v>775</v>
      </c>
      <c r="BA110" s="1758" t="s">
        <v>775</v>
      </c>
      <c r="BB110" s="1758" t="s">
        <v>775</v>
      </c>
      <c r="BC110" t="s">
        <v>775</v>
      </c>
      <c r="BD110" t="s">
        <v>775</v>
      </c>
    </row>
    <row r="111" spans="1:56" ht="12" customHeight="1">
      <c r="A111" t="str">
        <f>IF(AND(_C000441&gt;0,_C901560&gt;0),"Correct",IF(AND(_C000441=0,_C901560=0),"Correct","Error"))</f>
        <v>Correct</v>
      </c>
      <c r="B111" s="1510" t="s">
        <v>1141</v>
      </c>
      <c r="C111" t="s">
        <v>547</v>
      </c>
      <c r="D111" s="1501">
        <f>Schedule_N!B18</f>
        <v>11</v>
      </c>
      <c r="E111" s="1501" t="str">
        <f>Schedule_N!C18</f>
        <v>NOVEMBER</v>
      </c>
      <c r="F111" t="str">
        <f>Schedule_N!K$6&amp;"and "&amp;Schedule_N!L$6</f>
        <v>TOTAL
PATIENT DAYSand LICENSED BEDS
(Licensed Bed Count by Month)</v>
      </c>
      <c r="AB111">
        <v>35030</v>
      </c>
      <c r="AC111">
        <v>4113080</v>
      </c>
      <c r="AD111" t="s">
        <v>873</v>
      </c>
      <c r="AE111">
        <v>4113080</v>
      </c>
      <c r="AF111">
        <v>1308</v>
      </c>
      <c r="AG111" s="1860">
        <v>36739</v>
      </c>
      <c r="AH111" s="1860">
        <v>523456</v>
      </c>
      <c r="AI111" t="s">
        <v>775</v>
      </c>
      <c r="AJ111" t="s">
        <v>775</v>
      </c>
      <c r="AK111" t="s">
        <v>877</v>
      </c>
      <c r="AN111" t="str">
        <f t="shared" si="2"/>
        <v>4176814NULL</v>
      </c>
      <c r="AO111" t="str">
        <f t="shared" si="3"/>
        <v>4176814NULL</v>
      </c>
      <c r="AP111" s="1758" t="s">
        <v>774</v>
      </c>
      <c r="AQ111" s="1759">
        <v>4176814</v>
      </c>
      <c r="AR111" s="1758" t="s">
        <v>775</v>
      </c>
      <c r="AS111" s="1758">
        <v>17200</v>
      </c>
      <c r="AT111" s="1760">
        <v>17200</v>
      </c>
      <c r="AU111" s="1758" t="s">
        <v>775</v>
      </c>
      <c r="AV111" s="1758">
        <v>0</v>
      </c>
      <c r="AW111" s="1758" t="s">
        <v>775</v>
      </c>
      <c r="AX111" s="1758" t="s">
        <v>775</v>
      </c>
      <c r="AY111" s="1758" t="s">
        <v>775</v>
      </c>
      <c r="AZ111" s="1758" t="s">
        <v>775</v>
      </c>
      <c r="BA111" s="1758" t="s">
        <v>775</v>
      </c>
      <c r="BB111" s="1758" t="s">
        <v>775</v>
      </c>
      <c r="BC111" t="s">
        <v>775</v>
      </c>
      <c r="BD111" t="s">
        <v>775</v>
      </c>
    </row>
    <row r="112" spans="1:56" ht="12" customHeight="1">
      <c r="A112" t="str">
        <f>IF(AND(_C000442&gt;0,_C901561&gt;0),"Correct",IF(AND(_C000442=0,_C901561=0),"Correct","Error"))</f>
        <v>Correct</v>
      </c>
      <c r="B112" s="1510" t="s">
        <v>1141</v>
      </c>
      <c r="C112" t="s">
        <v>547</v>
      </c>
      <c r="D112" s="1501">
        <f>Schedule_N!B19</f>
        <v>12</v>
      </c>
      <c r="E112" s="1501" t="str">
        <f>Schedule_N!C19</f>
        <v>DECEMBER</v>
      </c>
      <c r="F112" t="str">
        <f>Schedule_N!K$6&amp;"and "&amp;Schedule_N!L$6</f>
        <v>TOTAL
PATIENT DAYSand LICENSED BEDS
(Licensed Bed Count by Month)</v>
      </c>
      <c r="AB112">
        <v>40780</v>
      </c>
      <c r="AC112">
        <v>4113221</v>
      </c>
      <c r="AD112" t="s">
        <v>873</v>
      </c>
      <c r="AE112">
        <v>4113221</v>
      </c>
      <c r="AF112">
        <v>1322</v>
      </c>
      <c r="AG112" s="1860">
        <v>36990</v>
      </c>
      <c r="AH112" s="1860">
        <v>523456</v>
      </c>
      <c r="AI112" t="s">
        <v>775</v>
      </c>
      <c r="AJ112" t="s">
        <v>775</v>
      </c>
      <c r="AK112" t="s">
        <v>878</v>
      </c>
      <c r="AN112" t="str">
        <f t="shared" si="2"/>
        <v>4112264NULL</v>
      </c>
      <c r="AO112" t="str">
        <f t="shared" si="3"/>
        <v>4112264NULL</v>
      </c>
      <c r="AP112" s="1758" t="s">
        <v>774</v>
      </c>
      <c r="AQ112" s="1759">
        <v>4112264</v>
      </c>
      <c r="AR112" s="1758" t="s">
        <v>775</v>
      </c>
      <c r="AS112" s="1758">
        <v>9200</v>
      </c>
      <c r="AT112" s="1760">
        <v>9200</v>
      </c>
      <c r="AU112" s="1758" t="s">
        <v>775</v>
      </c>
      <c r="AV112" s="1758">
        <v>0</v>
      </c>
      <c r="AW112" s="1758" t="s">
        <v>775</v>
      </c>
      <c r="AX112" s="1758" t="s">
        <v>775</v>
      </c>
      <c r="AY112" s="1758" t="s">
        <v>775</v>
      </c>
      <c r="AZ112" s="1758" t="s">
        <v>775</v>
      </c>
      <c r="BA112" s="1758" t="s">
        <v>775</v>
      </c>
      <c r="BB112" s="1758" t="s">
        <v>775</v>
      </c>
      <c r="BC112" t="s">
        <v>775</v>
      </c>
      <c r="BD112" t="s">
        <v>775</v>
      </c>
    </row>
    <row r="113" spans="1:56" ht="12" customHeight="1">
      <c r="A113" t="str">
        <f>IF(ABS(_C000449+_C000503-_C000469)&lt;0.999,"Correct","Error")</f>
        <v>Correct</v>
      </c>
      <c r="B113" s="1510" t="s">
        <v>1142</v>
      </c>
      <c r="C113" t="s">
        <v>458</v>
      </c>
      <c r="D113" s="1501">
        <f>'Schedule_O '!B11</f>
        <v>3</v>
      </c>
      <c r="E113" s="1501" t="str">
        <f>'Schedule_O '!C11</f>
        <v>TOTAL</v>
      </c>
      <c r="F113" t="str">
        <f>'Schedule_O '!F7</f>
        <v>COST PER
PATIENT DAY</v>
      </c>
      <c r="AB113">
        <v>100</v>
      </c>
      <c r="AC113">
        <v>4113239</v>
      </c>
      <c r="AD113" t="s">
        <v>873</v>
      </c>
      <c r="AE113">
        <v>4113239</v>
      </c>
      <c r="AF113">
        <v>1323</v>
      </c>
      <c r="AG113" s="1860">
        <v>37135</v>
      </c>
      <c r="AH113" s="1860">
        <v>523456</v>
      </c>
      <c r="AI113" t="s">
        <v>775</v>
      </c>
      <c r="AJ113" t="s">
        <v>775</v>
      </c>
      <c r="AK113" t="s">
        <v>879</v>
      </c>
      <c r="AN113" t="str">
        <f t="shared" si="2"/>
        <v>4175808NULL</v>
      </c>
      <c r="AO113" t="str">
        <f t="shared" si="3"/>
        <v>4175808NULL</v>
      </c>
      <c r="AP113" s="1758" t="s">
        <v>774</v>
      </c>
      <c r="AQ113" s="1759">
        <v>4175808</v>
      </c>
      <c r="AR113" s="1758" t="s">
        <v>775</v>
      </c>
      <c r="AS113" s="1758">
        <v>31550</v>
      </c>
      <c r="AT113" s="1760">
        <v>31550</v>
      </c>
      <c r="AU113" s="1758" t="s">
        <v>775</v>
      </c>
      <c r="AV113" s="1758">
        <v>0</v>
      </c>
      <c r="AW113" s="1758" t="s">
        <v>775</v>
      </c>
      <c r="AX113" s="1758" t="s">
        <v>775</v>
      </c>
      <c r="AY113" s="1758" t="s">
        <v>775</v>
      </c>
      <c r="AZ113" s="1758" t="s">
        <v>775</v>
      </c>
      <c r="BA113" s="1758" t="s">
        <v>775</v>
      </c>
      <c r="BB113" s="1758" t="s">
        <v>775</v>
      </c>
      <c r="BC113" t="s">
        <v>775</v>
      </c>
      <c r="BD113" t="s">
        <v>775</v>
      </c>
    </row>
    <row r="114" spans="1:56" ht="12" customHeight="1">
      <c r="A114" t="str">
        <f>IF(_C000472="","Error","Correct")</f>
        <v>Error</v>
      </c>
      <c r="B114" s="1510" t="s">
        <v>1010</v>
      </c>
      <c r="C114" t="s">
        <v>458</v>
      </c>
      <c r="D114" s="1504">
        <f>'Schedule_O '!B15</f>
        <v>4</v>
      </c>
      <c r="E114" s="1504" t="str">
        <f>'Schedule_O '!C15</f>
        <v>Effective Date</v>
      </c>
      <c r="F114" t="str">
        <f>'Schedule_O '!D13</f>
        <v>RATE A</v>
      </c>
      <c r="AB114">
        <v>40160</v>
      </c>
      <c r="AC114">
        <v>4113452</v>
      </c>
      <c r="AD114" t="s">
        <v>873</v>
      </c>
      <c r="AE114">
        <v>4113452</v>
      </c>
      <c r="AF114">
        <v>1345</v>
      </c>
      <c r="AG114" s="1860">
        <v>37742</v>
      </c>
      <c r="AH114" s="1860">
        <v>523456</v>
      </c>
      <c r="AI114" t="s">
        <v>775</v>
      </c>
      <c r="AJ114" t="s">
        <v>775</v>
      </c>
      <c r="AK114" t="s">
        <v>880</v>
      </c>
      <c r="AN114" t="str">
        <f t="shared" si="2"/>
        <v>4177614NULL</v>
      </c>
      <c r="AO114" t="str">
        <f t="shared" si="3"/>
        <v>4177614NULL</v>
      </c>
      <c r="AP114" s="1758" t="s">
        <v>774</v>
      </c>
      <c r="AQ114" s="1759">
        <v>4177614</v>
      </c>
      <c r="AR114" s="1758" t="s">
        <v>775</v>
      </c>
      <c r="AS114" s="1758">
        <v>25100</v>
      </c>
      <c r="AT114" s="1760">
        <v>25100</v>
      </c>
      <c r="AU114" s="1758" t="s">
        <v>775</v>
      </c>
      <c r="AV114" s="1758">
        <v>0</v>
      </c>
      <c r="AW114" s="1758" t="s">
        <v>775</v>
      </c>
      <c r="AX114" s="1758" t="s">
        <v>775</v>
      </c>
      <c r="AY114" s="1758" t="s">
        <v>775</v>
      </c>
      <c r="AZ114" s="1758" t="s">
        <v>775</v>
      </c>
      <c r="BA114" s="1758" t="s">
        <v>775</v>
      </c>
      <c r="BB114" s="1758" t="s">
        <v>775</v>
      </c>
      <c r="BC114" t="s">
        <v>775</v>
      </c>
      <c r="BD114" t="s">
        <v>775</v>
      </c>
    </row>
    <row r="115" spans="1:56" ht="12" customHeight="1">
      <c r="A115" t="str">
        <f>IF(_C000508&lt;=0,"Error","Correct")</f>
        <v>Error</v>
      </c>
      <c r="B115" s="1510" t="s">
        <v>1011</v>
      </c>
      <c r="C115" t="s">
        <v>458</v>
      </c>
      <c r="D115" s="1504">
        <f>'Schedule_O '!B26</f>
        <v>15</v>
      </c>
      <c r="E115" s="1504" t="str">
        <f>'Schedule_O '!C26</f>
        <v>TOTAL</v>
      </c>
      <c r="F115" t="str">
        <f>'Schedule_O '!D13</f>
        <v>RATE A</v>
      </c>
      <c r="AB115">
        <v>24300</v>
      </c>
      <c r="AC115">
        <v>4113536</v>
      </c>
      <c r="AD115" t="s">
        <v>873</v>
      </c>
      <c r="AE115">
        <v>4113536</v>
      </c>
      <c r="AF115">
        <v>1353</v>
      </c>
      <c r="AG115" s="1860">
        <v>37895</v>
      </c>
      <c r="AH115" s="1860">
        <v>523456</v>
      </c>
      <c r="AI115" t="s">
        <v>775</v>
      </c>
      <c r="AJ115" t="s">
        <v>775</v>
      </c>
      <c r="AK115" t="s">
        <v>881</v>
      </c>
      <c r="AN115" t="str">
        <f t="shared" si="2"/>
        <v>4175501NULL</v>
      </c>
      <c r="AO115" t="str">
        <f t="shared" si="3"/>
        <v>4175501NULL</v>
      </c>
      <c r="AP115" s="1758" t="s">
        <v>774</v>
      </c>
      <c r="AQ115" s="1759">
        <v>4175501</v>
      </c>
      <c r="AR115" s="1758" t="s">
        <v>775</v>
      </c>
      <c r="AS115" s="1758">
        <v>25300</v>
      </c>
      <c r="AT115" s="1760">
        <v>25300</v>
      </c>
      <c r="AU115" s="1758" t="s">
        <v>775</v>
      </c>
      <c r="AV115" s="1758">
        <v>0</v>
      </c>
      <c r="AW115" s="1758" t="s">
        <v>775</v>
      </c>
      <c r="AX115" s="1758" t="s">
        <v>775</v>
      </c>
      <c r="AY115" s="1758" t="s">
        <v>775</v>
      </c>
      <c r="AZ115" s="1758" t="s">
        <v>775</v>
      </c>
      <c r="BA115" s="1758" t="s">
        <v>775</v>
      </c>
      <c r="BB115" s="1758" t="s">
        <v>775</v>
      </c>
      <c r="BC115" t="s">
        <v>775</v>
      </c>
      <c r="BD115" t="s">
        <v>775</v>
      </c>
    </row>
    <row r="116" spans="1:56" ht="12" customHeight="1">
      <c r="A116" t="str">
        <f>IF(ISNA(VLOOKUP(_M000002,'Schedule P'!$C$9:$C$14,1,FALSE)),"Correct",IF(_C902199=0,"Error",IF(_C902199="errrrrrrrrrr","Error","Correct")))</f>
        <v>Correct</v>
      </c>
      <c r="B116" s="1510" t="s">
        <v>1130</v>
      </c>
      <c r="C116" s="1510" t="s">
        <v>1059</v>
      </c>
      <c r="D116" s="1501">
        <f>'Schedule P'!B37</f>
        <v>20</v>
      </c>
      <c r="E116" t="str">
        <f>'Schedule P'!D37</f>
        <v>Total Proshare Expenditures by Rate Component (line 16 + 17 +18 + 19)</v>
      </c>
      <c r="AB116">
        <v>22200</v>
      </c>
      <c r="AC116">
        <v>4113544</v>
      </c>
      <c r="AD116" t="s">
        <v>873</v>
      </c>
      <c r="AE116">
        <v>4113544</v>
      </c>
      <c r="AF116">
        <v>1354</v>
      </c>
      <c r="AG116" s="1860">
        <v>37895</v>
      </c>
      <c r="AH116" s="1860">
        <v>523456</v>
      </c>
      <c r="AI116" t="s">
        <v>775</v>
      </c>
      <c r="AJ116" t="s">
        <v>775</v>
      </c>
      <c r="AK116" t="s">
        <v>882</v>
      </c>
      <c r="AN116" t="str">
        <f t="shared" si="2"/>
        <v>4176202NULL</v>
      </c>
      <c r="AO116" t="str">
        <f t="shared" si="3"/>
        <v>4176202NULL</v>
      </c>
      <c r="AP116" s="1758" t="s">
        <v>774</v>
      </c>
      <c r="AQ116" s="1759">
        <v>4176202</v>
      </c>
      <c r="AR116" s="1758" t="s">
        <v>775</v>
      </c>
      <c r="AS116" s="1758">
        <v>13000</v>
      </c>
      <c r="AT116" s="1760">
        <v>13000</v>
      </c>
      <c r="AU116" s="1758" t="s">
        <v>775</v>
      </c>
      <c r="AV116" s="1758">
        <v>0</v>
      </c>
      <c r="AW116" s="1758" t="s">
        <v>775</v>
      </c>
      <c r="AX116" s="1758" t="s">
        <v>775</v>
      </c>
      <c r="AY116" s="1758" t="s">
        <v>775</v>
      </c>
      <c r="AZ116" s="1758" t="s">
        <v>775</v>
      </c>
      <c r="BA116" s="1758" t="s">
        <v>775</v>
      </c>
      <c r="BB116" s="1758" t="s">
        <v>775</v>
      </c>
      <c r="BC116" t="s">
        <v>775</v>
      </c>
      <c r="BD116" t="s">
        <v>775</v>
      </c>
    </row>
    <row r="117" spans="1:56" ht="37.5" customHeight="1">
      <c r="A117" t="str">
        <f>IF(AND(_M904192="NA",_M904165=""),"Error",IF(AND(_M904192="NA",_M904166=""),"Error",IF(AND(_M904192="NA",_M904167=""),"Error",IF(_M904192="","Error","Correct"))))</f>
        <v>Error</v>
      </c>
      <c r="B117" s="1510" t="s">
        <v>1105</v>
      </c>
      <c r="C117" s="1510" t="s">
        <v>1084</v>
      </c>
      <c r="D117" s="1828" t="str">
        <f>'Schedule Q'!A11</f>
        <v>Line 1</v>
      </c>
      <c r="E117" s="1829" t="str">
        <f>'Schedule Q'!C11</f>
        <v>Skilled Nursing Services reported on Certification Page under chapter 18.51 RCW:  Complete Columns 2, 3, 4, and 6.</v>
      </c>
      <c r="F117" s="1829" t="str">
        <f>'Schedule Q'!D10</f>
        <v>Column 2:
 "Yes" or "No" if the Skilled Nursing Facility is currently licensed as a CCRC per RCW 18.390:</v>
      </c>
      <c r="AB117">
        <v>25300</v>
      </c>
      <c r="AC117">
        <v>4113668</v>
      </c>
      <c r="AD117" t="s">
        <v>873</v>
      </c>
      <c r="AE117">
        <v>4113668</v>
      </c>
      <c r="AF117">
        <v>1366</v>
      </c>
      <c r="AG117" s="1860">
        <v>37987</v>
      </c>
      <c r="AH117" s="1860">
        <v>523456</v>
      </c>
      <c r="AI117" t="s">
        <v>775</v>
      </c>
      <c r="AJ117" t="s">
        <v>775</v>
      </c>
      <c r="AK117" t="s">
        <v>883</v>
      </c>
      <c r="AN117" t="str">
        <f t="shared" si="2"/>
        <v>4110359NULL</v>
      </c>
      <c r="AO117" t="str">
        <f t="shared" si="3"/>
        <v>4110359NULL</v>
      </c>
      <c r="AP117" s="1758" t="s">
        <v>774</v>
      </c>
      <c r="AQ117" s="1759">
        <v>4110359</v>
      </c>
      <c r="AR117" s="1758" t="s">
        <v>775</v>
      </c>
      <c r="AS117" s="1758">
        <v>5830</v>
      </c>
      <c r="AT117" s="1760">
        <v>5830</v>
      </c>
      <c r="AU117" s="1758" t="s">
        <v>775</v>
      </c>
      <c r="AV117" s="1758">
        <v>0</v>
      </c>
      <c r="AW117" s="1758" t="s">
        <v>775</v>
      </c>
      <c r="AX117" s="1758" t="s">
        <v>775</v>
      </c>
      <c r="AY117" s="1758" t="s">
        <v>775</v>
      </c>
      <c r="AZ117" s="1758" t="s">
        <v>775</v>
      </c>
      <c r="BA117" s="1758" t="s">
        <v>775</v>
      </c>
      <c r="BB117" s="1758" t="s">
        <v>775</v>
      </c>
      <c r="BC117" t="s">
        <v>775</v>
      </c>
      <c r="BD117" t="s">
        <v>775</v>
      </c>
    </row>
    <row r="118" spans="1:56" ht="37.5" customHeight="1">
      <c r="A118" t="str">
        <f>IF(AND(_C004320&lt;&gt;0,_C901511&lt;&gt;0),"Correct",IF(AND(C4320&lt;&gt;0,_C900898=0),"Error","Correct"))</f>
        <v>Correct</v>
      </c>
      <c r="B118" s="1510" t="s">
        <v>1143</v>
      </c>
      <c r="C118" s="1510" t="s">
        <v>1108</v>
      </c>
      <c r="D118" s="1828" t="s">
        <v>1110</v>
      </c>
      <c r="E118" s="1858" t="s">
        <v>1109</v>
      </c>
      <c r="F118" s="1829"/>
      <c r="AB118">
        <v>40960</v>
      </c>
      <c r="AC118">
        <v>4114344</v>
      </c>
      <c r="AD118" t="s">
        <v>873</v>
      </c>
      <c r="AE118">
        <v>4114344</v>
      </c>
      <c r="AF118">
        <v>1434</v>
      </c>
      <c r="AG118" s="1860">
        <v>40016</v>
      </c>
      <c r="AH118" s="1860">
        <v>523456</v>
      </c>
      <c r="AI118" t="s">
        <v>775</v>
      </c>
      <c r="AJ118" t="s">
        <v>775</v>
      </c>
      <c r="AK118" t="s">
        <v>884</v>
      </c>
      <c r="AN118" t="str">
        <f t="shared" si="2"/>
        <v>4110250NULL</v>
      </c>
      <c r="AO118" t="str">
        <f t="shared" si="3"/>
        <v>4110250NULL</v>
      </c>
      <c r="AP118" s="1758" t="s">
        <v>774</v>
      </c>
      <c r="AQ118" s="1759">
        <v>4110250</v>
      </c>
      <c r="AR118" s="1758" t="s">
        <v>775</v>
      </c>
      <c r="AS118" s="1758">
        <v>28000</v>
      </c>
      <c r="AT118" s="1760">
        <v>28000</v>
      </c>
      <c r="AU118" s="1758" t="s">
        <v>775</v>
      </c>
      <c r="AV118" s="1758">
        <v>0</v>
      </c>
      <c r="AW118" s="1758" t="s">
        <v>775</v>
      </c>
      <c r="AX118" s="1758" t="s">
        <v>775</v>
      </c>
      <c r="AY118" s="1758" t="s">
        <v>775</v>
      </c>
      <c r="AZ118" s="1758" t="s">
        <v>775</v>
      </c>
      <c r="BA118" s="1758" t="s">
        <v>775</v>
      </c>
      <c r="BB118" s="1758" t="s">
        <v>775</v>
      </c>
      <c r="BC118" t="s">
        <v>775</v>
      </c>
      <c r="BD118" t="s">
        <v>775</v>
      </c>
    </row>
    <row r="119" spans="1:56" ht="38.25" customHeight="1">
      <c r="A119" t="str">
        <f>IF(AND('Supp Schedule_O-1'!H1="NA",SUM(_C901511+_C904164)=0),"Correct",IF(AND('Supp Schedule_O-1'!H1&lt;&gt;"NA",SUM(_C901511+_C904164)&gt;0),"Correct","Error"))</f>
        <v>Error</v>
      </c>
      <c r="B119" s="1510" t="s">
        <v>1083</v>
      </c>
      <c r="C119" s="1510" t="s">
        <v>1075</v>
      </c>
      <c r="D119" s="1501">
        <f>'Supp Schedule_O-1'!B24</f>
        <v>13</v>
      </c>
      <c r="E119" s="1829" t="s">
        <v>1125</v>
      </c>
      <c r="F119" s="1510" t="s">
        <v>1076</v>
      </c>
      <c r="AB119">
        <v>17600</v>
      </c>
      <c r="AC119">
        <v>4114500</v>
      </c>
      <c r="AD119" t="s">
        <v>873</v>
      </c>
      <c r="AE119">
        <v>4114500</v>
      </c>
      <c r="AF119">
        <v>1450</v>
      </c>
      <c r="AG119" s="1860">
        <v>41183</v>
      </c>
      <c r="AH119" s="1860">
        <v>523456</v>
      </c>
      <c r="AI119" t="s">
        <v>775</v>
      </c>
      <c r="AJ119" t="s">
        <v>775</v>
      </c>
      <c r="AK119" t="s">
        <v>885</v>
      </c>
      <c r="AN119" t="str">
        <f t="shared" si="2"/>
        <v>4110276NULL</v>
      </c>
      <c r="AO119" t="str">
        <f t="shared" si="3"/>
        <v>4110276NULL</v>
      </c>
      <c r="AP119" s="1758" t="s">
        <v>774</v>
      </c>
      <c r="AQ119" s="1759">
        <v>4110276</v>
      </c>
      <c r="AR119" s="1758" t="s">
        <v>775</v>
      </c>
      <c r="AS119" s="1758">
        <v>15300</v>
      </c>
      <c r="AT119" s="1760">
        <v>15300</v>
      </c>
      <c r="AU119" s="1758" t="s">
        <v>775</v>
      </c>
      <c r="AV119" s="1758">
        <v>0</v>
      </c>
      <c r="AW119" s="1758" t="s">
        <v>775</v>
      </c>
      <c r="AX119" s="1758" t="s">
        <v>775</v>
      </c>
      <c r="AY119" s="1758" t="s">
        <v>775</v>
      </c>
      <c r="AZ119" s="1758" t="s">
        <v>775</v>
      </c>
      <c r="BA119" s="1758" t="s">
        <v>775</v>
      </c>
      <c r="BB119" s="1758" t="s">
        <v>775</v>
      </c>
      <c r="BC119" t="s">
        <v>775</v>
      </c>
      <c r="BD119" t="s">
        <v>775</v>
      </c>
    </row>
    <row r="120" spans="1:56" ht="12" customHeight="1">
      <c r="A120" t="str">
        <f>IF(AND('Schedule_G-1'!$J$4="NA",SUM('Schedule_G-1'!$J$9:$J$24)+SUM('Schedule_G-1'!$K$33:$K$37)=0),"Correct",IF(AND('Schedule_G-1'!$J$4&lt;&gt;"NA",SUM('Schedule_G-1'!$G$9:$G$24)+SUM('Schedule_G-1'!$K$33:$K$37)&gt;0),"Correct","Error"))</f>
        <v>Error</v>
      </c>
      <c r="B120" s="1510" t="s">
        <v>1082</v>
      </c>
      <c r="C120" s="1510" t="s">
        <v>1085</v>
      </c>
      <c r="E120" t="str">
        <f>'Schedule_G-1'!I4</f>
        <v>                                              SCHEDULE G-1 is not applicable to this facility NA if not:-</v>
      </c>
      <c r="AB120">
        <v>33000</v>
      </c>
      <c r="AC120">
        <v>4114519</v>
      </c>
      <c r="AD120" t="s">
        <v>873</v>
      </c>
      <c r="AE120">
        <v>4114519</v>
      </c>
      <c r="AF120">
        <v>1451</v>
      </c>
      <c r="AG120" s="1860">
        <v>41183</v>
      </c>
      <c r="AH120" s="1860">
        <v>523456</v>
      </c>
      <c r="AI120" t="s">
        <v>775</v>
      </c>
      <c r="AJ120" t="s">
        <v>775</v>
      </c>
      <c r="AK120" t="s">
        <v>886</v>
      </c>
      <c r="AN120" t="str">
        <f t="shared" si="2"/>
        <v>4110284NULL</v>
      </c>
      <c r="AO120" t="str">
        <f t="shared" si="3"/>
        <v>4110284NULL</v>
      </c>
      <c r="AP120" s="1758" t="s">
        <v>774</v>
      </c>
      <c r="AQ120" s="1759">
        <v>4110284</v>
      </c>
      <c r="AR120" s="1758" t="s">
        <v>775</v>
      </c>
      <c r="AS120" s="1758">
        <v>12900</v>
      </c>
      <c r="AT120" s="1760">
        <v>12900</v>
      </c>
      <c r="AU120" s="1758" t="s">
        <v>775</v>
      </c>
      <c r="AV120" s="1758">
        <v>0</v>
      </c>
      <c r="AW120" s="1758" t="s">
        <v>775</v>
      </c>
      <c r="AX120" s="1758" t="s">
        <v>775</v>
      </c>
      <c r="AY120" s="1758" t="s">
        <v>775</v>
      </c>
      <c r="AZ120" s="1758" t="s">
        <v>775</v>
      </c>
      <c r="BA120" s="1758" t="s">
        <v>775</v>
      </c>
      <c r="BB120" s="1758" t="s">
        <v>775</v>
      </c>
      <c r="BC120" t="s">
        <v>775</v>
      </c>
      <c r="BD120" t="s">
        <v>775</v>
      </c>
    </row>
    <row r="121" spans="1:56" ht="30" customHeight="1">
      <c r="A121" t="str">
        <f>IF(AND('Schedule_G-2_HO'!$H$2="NA",_C903144=0),"Correct",IF(AND('Schedule_G-2_HO'!$H$2&lt;&gt;"NA",_C903144&gt;0),"Correct","Error"))</f>
        <v>Error</v>
      </c>
      <c r="B121" s="1510" t="s">
        <v>1086</v>
      </c>
      <c r="C121" s="1510" t="s">
        <v>1087</v>
      </c>
      <c r="E121" t="str">
        <f>'Schedule_G-2_HO'!G2</f>
        <v>                                              SCH G-2 HO is not applicable NA if not:-</v>
      </c>
      <c r="AB121">
        <v>40910</v>
      </c>
      <c r="AC121">
        <v>4114527</v>
      </c>
      <c r="AD121" t="s">
        <v>873</v>
      </c>
      <c r="AE121">
        <v>4114527</v>
      </c>
      <c r="AF121">
        <v>1452</v>
      </c>
      <c r="AG121" s="1860">
        <v>41183</v>
      </c>
      <c r="AH121" s="1860">
        <v>523456</v>
      </c>
      <c r="AI121" t="s">
        <v>775</v>
      </c>
      <c r="AJ121" t="s">
        <v>775</v>
      </c>
      <c r="AK121" t="s">
        <v>887</v>
      </c>
      <c r="AN121" t="str">
        <f t="shared" si="2"/>
        <v>4110292NULL</v>
      </c>
      <c r="AO121" t="str">
        <f t="shared" si="3"/>
        <v>4110292NULL</v>
      </c>
      <c r="AP121" s="1758" t="s">
        <v>774</v>
      </c>
      <c r="AQ121" s="1759">
        <v>4110292</v>
      </c>
      <c r="AR121" s="1758" t="s">
        <v>775</v>
      </c>
      <c r="AS121" s="1758">
        <v>11070</v>
      </c>
      <c r="AT121" s="1760">
        <v>11070</v>
      </c>
      <c r="AU121" s="1758" t="s">
        <v>775</v>
      </c>
      <c r="AV121" s="1758">
        <v>0</v>
      </c>
      <c r="AW121" s="1758" t="s">
        <v>775</v>
      </c>
      <c r="AX121" s="1758" t="s">
        <v>775</v>
      </c>
      <c r="AY121" s="1758" t="s">
        <v>775</v>
      </c>
      <c r="AZ121" s="1758" t="s">
        <v>775</v>
      </c>
      <c r="BA121" s="1758" t="s">
        <v>775</v>
      </c>
      <c r="BB121" s="1758" t="s">
        <v>775</v>
      </c>
      <c r="BC121" t="s">
        <v>775</v>
      </c>
      <c r="BD121" t="s">
        <v>775</v>
      </c>
    </row>
    <row r="122" spans="1:56" ht="17.25" customHeight="1">
      <c r="A122" t="str">
        <f>IF(AND('Schedule_G-2'!$H$2="NA",_C901236=0),"Correct",IF(AND('Schedule_G-2'!$H$2&lt;&gt;"NA",_C901236&gt;0),"Correct","Error"))</f>
        <v>Error</v>
      </c>
      <c r="B122" s="1510" t="s">
        <v>1088</v>
      </c>
      <c r="C122" s="1510" t="s">
        <v>1089</v>
      </c>
      <c r="E122" t="str">
        <f>'Schedule_G-2'!G2</f>
        <v>                                              SCH G-2 is not applicable NA if not:-</v>
      </c>
      <c r="AB122">
        <v>20000</v>
      </c>
      <c r="AC122">
        <v>4114543</v>
      </c>
      <c r="AD122" t="s">
        <v>873</v>
      </c>
      <c r="AE122">
        <v>4114543</v>
      </c>
      <c r="AF122">
        <v>1454</v>
      </c>
      <c r="AG122" s="1860">
        <v>41183</v>
      </c>
      <c r="AH122" s="1860">
        <v>523456</v>
      </c>
      <c r="AI122" t="s">
        <v>775</v>
      </c>
      <c r="AJ122" t="s">
        <v>775</v>
      </c>
      <c r="AK122" t="s">
        <v>888</v>
      </c>
      <c r="AN122" t="str">
        <f t="shared" si="2"/>
        <v>4110409NULL</v>
      </c>
      <c r="AO122" t="str">
        <f t="shared" si="3"/>
        <v>4110409NULL</v>
      </c>
      <c r="AP122" s="1758" t="s">
        <v>774</v>
      </c>
      <c r="AQ122" s="1759">
        <v>4110409</v>
      </c>
      <c r="AR122" s="1758" t="s">
        <v>775</v>
      </c>
      <c r="AS122" s="1758">
        <v>10100</v>
      </c>
      <c r="AT122" s="1760">
        <v>10100</v>
      </c>
      <c r="AU122" s="1758" t="s">
        <v>775</v>
      </c>
      <c r="AV122" s="1758">
        <v>0</v>
      </c>
      <c r="AW122" s="1758" t="s">
        <v>775</v>
      </c>
      <c r="AX122" s="1758" t="s">
        <v>775</v>
      </c>
      <c r="AY122" s="1758" t="s">
        <v>775</v>
      </c>
      <c r="AZ122" s="1758" t="s">
        <v>775</v>
      </c>
      <c r="BA122" s="1758" t="s">
        <v>775</v>
      </c>
      <c r="BB122" s="1758" t="s">
        <v>775</v>
      </c>
      <c r="BC122" t="s">
        <v>775</v>
      </c>
      <c r="BD122" t="s">
        <v>775</v>
      </c>
    </row>
    <row r="123" spans="1:56" ht="12" customHeight="1">
      <c r="A123" t="str">
        <f>IF(AND('Schedule_G-7'!$K$6="NA",_C620097=0),"Correct",IF(AND('Schedule_G-7'!$K$6&lt;&gt;"NA",_C620048&gt;0),"Correct","Error"))</f>
        <v>Error</v>
      </c>
      <c r="B123" s="1510" t="s">
        <v>1090</v>
      </c>
      <c r="C123" s="1510" t="s">
        <v>1091</v>
      </c>
      <c r="E123" t="str">
        <f>'Schedule_G-7'!J6</f>
        <v>SCHEDULE G-7 is not applicable to this facility Input NA: - </v>
      </c>
      <c r="AB123">
        <v>4400</v>
      </c>
      <c r="AC123">
        <v>4114551</v>
      </c>
      <c r="AD123" t="s">
        <v>873</v>
      </c>
      <c r="AE123">
        <v>4114551</v>
      </c>
      <c r="AF123">
        <v>1455</v>
      </c>
      <c r="AG123" s="1860">
        <v>41183</v>
      </c>
      <c r="AH123" s="1860">
        <v>523456</v>
      </c>
      <c r="AI123" t="s">
        <v>775</v>
      </c>
      <c r="AJ123" t="s">
        <v>775</v>
      </c>
      <c r="AK123" t="s">
        <v>889</v>
      </c>
      <c r="AN123" t="str">
        <f t="shared" si="2"/>
        <v>4177606NULL</v>
      </c>
      <c r="AO123" t="str">
        <f t="shared" si="3"/>
        <v>4177606NULL</v>
      </c>
      <c r="AP123" s="1758" t="s">
        <v>774</v>
      </c>
      <c r="AQ123" s="1759">
        <v>4177606</v>
      </c>
      <c r="AR123" s="1758" t="s">
        <v>775</v>
      </c>
      <c r="AS123" s="1758">
        <v>25100</v>
      </c>
      <c r="AT123" s="1760">
        <v>25100</v>
      </c>
      <c r="AU123" s="1758" t="s">
        <v>775</v>
      </c>
      <c r="AV123" s="1758">
        <v>0</v>
      </c>
      <c r="AW123" s="1758" t="s">
        <v>775</v>
      </c>
      <c r="AX123" s="1758" t="s">
        <v>775</v>
      </c>
      <c r="AY123" s="1758" t="s">
        <v>775</v>
      </c>
      <c r="AZ123" s="1758" t="s">
        <v>775</v>
      </c>
      <c r="BA123" s="1758" t="s">
        <v>775</v>
      </c>
      <c r="BB123" s="1758" t="s">
        <v>775</v>
      </c>
      <c r="BC123" t="s">
        <v>775</v>
      </c>
      <c r="BD123" t="s">
        <v>775</v>
      </c>
    </row>
    <row r="124" spans="1:56" ht="12" customHeight="1">
      <c r="A124" t="str">
        <f>IF(AND('Schedule_G-8'!$D$1="NA",_C000623=0),"Correct",IF(AND('Schedule_G-8'!$D$1&lt;&gt;"NA",_C000623&gt;0),"Correct","Error"))</f>
        <v>Error</v>
      </c>
      <c r="B124" s="1510" t="s">
        <v>1093</v>
      </c>
      <c r="C124" s="1510" t="s">
        <v>1092</v>
      </c>
      <c r="E124" t="str">
        <f>'Schedule_G-8'!C1</f>
        <v>SCHEDULE G-8 is not applicable to this facility Input NA: - </v>
      </c>
      <c r="AB124">
        <v>17000</v>
      </c>
      <c r="AC124">
        <v>4114578</v>
      </c>
      <c r="AD124" t="s">
        <v>873</v>
      </c>
      <c r="AE124">
        <v>4114578</v>
      </c>
      <c r="AF124">
        <v>1457</v>
      </c>
      <c r="AG124" s="1860">
        <v>41241</v>
      </c>
      <c r="AH124" s="1860">
        <v>523456</v>
      </c>
      <c r="AI124" t="s">
        <v>775</v>
      </c>
      <c r="AJ124" t="s">
        <v>775</v>
      </c>
      <c r="AK124" t="s">
        <v>890</v>
      </c>
      <c r="AN124" t="str">
        <f t="shared" si="2"/>
        <v>4185401NULL</v>
      </c>
      <c r="AO124" t="str">
        <f t="shared" si="3"/>
        <v>4185401NULL</v>
      </c>
      <c r="AP124" s="1758" t="s">
        <v>774</v>
      </c>
      <c r="AQ124" s="1759">
        <v>4185401</v>
      </c>
      <c r="AR124" s="1758" t="s">
        <v>775</v>
      </c>
      <c r="AS124" s="1758">
        <v>24200</v>
      </c>
      <c r="AT124" s="1760">
        <v>24200</v>
      </c>
      <c r="AU124" s="1758" t="s">
        <v>775</v>
      </c>
      <c r="AV124" s="1758">
        <v>0</v>
      </c>
      <c r="AW124" s="1758" t="s">
        <v>775</v>
      </c>
      <c r="AX124" s="1758" t="s">
        <v>775</v>
      </c>
      <c r="AY124" s="1758" t="s">
        <v>775</v>
      </c>
      <c r="AZ124" s="1758" t="s">
        <v>775</v>
      </c>
      <c r="BA124" s="1758" t="s">
        <v>775</v>
      </c>
      <c r="BB124" s="1758" t="s">
        <v>775</v>
      </c>
      <c r="BC124" t="s">
        <v>775</v>
      </c>
      <c r="BD124" t="s">
        <v>775</v>
      </c>
    </row>
    <row r="125" spans="1:56" ht="12" customHeight="1">
      <c r="A125" t="str">
        <f>IF(AND('Schedule P'!$F$4="NA",_C902199=0),"Correct",IF(AND('Schedule P'!$F$4&lt;&gt;"NA",_C902199&gt;0),"Correct","Error"))</f>
        <v>Error</v>
      </c>
      <c r="B125" s="1510" t="s">
        <v>1094</v>
      </c>
      <c r="C125" s="1510" t="s">
        <v>1059</v>
      </c>
      <c r="E125" t="str">
        <f>'Schedule P'!E4</f>
        <v>Schedule P is not applicable to this facility Input NA:-</v>
      </c>
      <c r="AB125">
        <v>3300</v>
      </c>
      <c r="AC125">
        <v>4114586</v>
      </c>
      <c r="AD125" t="s">
        <v>873</v>
      </c>
      <c r="AE125">
        <v>4114586</v>
      </c>
      <c r="AF125">
        <v>1458</v>
      </c>
      <c r="AG125" s="1860">
        <v>41241</v>
      </c>
      <c r="AH125" s="1860">
        <v>523456</v>
      </c>
      <c r="AI125" t="s">
        <v>775</v>
      </c>
      <c r="AJ125" t="s">
        <v>775</v>
      </c>
      <c r="AK125" t="s">
        <v>891</v>
      </c>
      <c r="AN125" t="str">
        <f t="shared" si="2"/>
        <v>4180402NULL</v>
      </c>
      <c r="AO125" t="str">
        <f t="shared" si="3"/>
        <v>4180402NULL</v>
      </c>
      <c r="AP125" s="1758" t="s">
        <v>774</v>
      </c>
      <c r="AQ125" s="1759">
        <v>4180402</v>
      </c>
      <c r="AR125" s="1758" t="s">
        <v>775</v>
      </c>
      <c r="AS125" s="1758">
        <v>5500</v>
      </c>
      <c r="AT125" s="1760">
        <v>5500</v>
      </c>
      <c r="AU125" s="1758" t="s">
        <v>775</v>
      </c>
      <c r="AV125" s="1758">
        <v>0</v>
      </c>
      <c r="AW125" s="1758" t="s">
        <v>775</v>
      </c>
      <c r="AX125" s="1758" t="s">
        <v>775</v>
      </c>
      <c r="AY125" s="1758" t="s">
        <v>775</v>
      </c>
      <c r="AZ125" s="1758" t="s">
        <v>775</v>
      </c>
      <c r="BA125" s="1758" t="s">
        <v>775</v>
      </c>
      <c r="BB125" s="1758" t="s">
        <v>775</v>
      </c>
      <c r="BC125" t="s">
        <v>775</v>
      </c>
      <c r="BD125" t="s">
        <v>775</v>
      </c>
    </row>
    <row r="126" spans="1:56" ht="12" customHeight="1">
      <c r="A126" t="str">
        <f>IF(Schedule_A!I87="","Error","Correct")</f>
        <v>Error</v>
      </c>
      <c r="B126" s="1510" t="s">
        <v>1123</v>
      </c>
      <c r="C126" s="1510" t="s">
        <v>191</v>
      </c>
      <c r="E126" t="str">
        <f>Schedule_A!F87</f>
        <v>  *  IF LESSOR, THEN IS THIS A RELATED PARTY LEASE?</v>
      </c>
      <c r="AB126">
        <v>18300</v>
      </c>
      <c r="AC126">
        <v>4114688</v>
      </c>
      <c r="AD126" t="s">
        <v>873</v>
      </c>
      <c r="AE126">
        <v>4114688</v>
      </c>
      <c r="AF126">
        <v>1468</v>
      </c>
      <c r="AG126" s="1860">
        <v>41904</v>
      </c>
      <c r="AH126" s="1860">
        <v>523456</v>
      </c>
      <c r="AI126" t="s">
        <v>775</v>
      </c>
      <c r="AJ126" t="s">
        <v>775</v>
      </c>
      <c r="AK126" t="s">
        <v>1112</v>
      </c>
      <c r="AN126" t="str">
        <f t="shared" si="2"/>
        <v>4180501NULL</v>
      </c>
      <c r="AO126" t="str">
        <f t="shared" si="3"/>
        <v>4180501NULL</v>
      </c>
      <c r="AP126" s="1758" t="s">
        <v>774</v>
      </c>
      <c r="AQ126" s="1759">
        <v>4180501</v>
      </c>
      <c r="AR126" s="1758" t="s">
        <v>775</v>
      </c>
      <c r="AS126" s="1758">
        <v>11500</v>
      </c>
      <c r="AT126" s="1760">
        <v>11500</v>
      </c>
      <c r="AU126" s="1758" t="s">
        <v>775</v>
      </c>
      <c r="AV126" s="1758">
        <v>0</v>
      </c>
      <c r="AW126" s="1758" t="s">
        <v>775</v>
      </c>
      <c r="AX126" s="1758" t="s">
        <v>775</v>
      </c>
      <c r="AY126" s="1758" t="s">
        <v>775</v>
      </c>
      <c r="AZ126" s="1758" t="s">
        <v>775</v>
      </c>
      <c r="BA126" s="1758" t="s">
        <v>775</v>
      </c>
      <c r="BB126" s="1758" t="s">
        <v>775</v>
      </c>
      <c r="BC126" t="s">
        <v>775</v>
      </c>
      <c r="BD126" t="s">
        <v>775</v>
      </c>
    </row>
    <row r="127" spans="1:56" ht="12" customHeight="1">
      <c r="A127" t="str">
        <f>IF(AND(Schedule_A!J111="",_M000244="",_M000286=""),"Error",IF(Schedule_A!J111="NA","Correct","Correct"))</f>
        <v>Error</v>
      </c>
      <c r="B127" s="1510" t="s">
        <v>1124</v>
      </c>
      <c r="C127" s="1510" t="s">
        <v>191</v>
      </c>
      <c r="E127" t="str">
        <f>Schedule_A!B111</f>
        <v>Page 3 Schedule A  If not applicable to this facility input NA: -</v>
      </c>
      <c r="AB127">
        <v>1600</v>
      </c>
      <c r="AC127">
        <v>4114696</v>
      </c>
      <c r="AD127" t="s">
        <v>873</v>
      </c>
      <c r="AE127">
        <v>4114696</v>
      </c>
      <c r="AF127">
        <v>1469</v>
      </c>
      <c r="AG127" s="1860">
        <v>41883</v>
      </c>
      <c r="AH127" s="1860">
        <v>523456</v>
      </c>
      <c r="AI127" t="s">
        <v>775</v>
      </c>
      <c r="AJ127" t="s">
        <v>775</v>
      </c>
      <c r="AK127" t="s">
        <v>892</v>
      </c>
      <c r="AN127" t="str">
        <f t="shared" si="2"/>
        <v>4180808NULL</v>
      </c>
      <c r="AO127" t="str">
        <f t="shared" si="3"/>
        <v>4180808NULL</v>
      </c>
      <c r="AP127" s="1758" t="s">
        <v>774</v>
      </c>
      <c r="AQ127" s="1759">
        <v>4180808</v>
      </c>
      <c r="AR127" s="1758" t="s">
        <v>775</v>
      </c>
      <c r="AS127" s="1758">
        <v>19900</v>
      </c>
      <c r="AT127" s="1760">
        <v>19900</v>
      </c>
      <c r="AU127" s="1758" t="s">
        <v>775</v>
      </c>
      <c r="AV127" s="1758">
        <v>0</v>
      </c>
      <c r="AW127" s="1758" t="s">
        <v>775</v>
      </c>
      <c r="AX127" s="1758" t="s">
        <v>775</v>
      </c>
      <c r="AY127" s="1758" t="s">
        <v>775</v>
      </c>
      <c r="AZ127" s="1758" t="s">
        <v>775</v>
      </c>
      <c r="BA127" s="1758" t="s">
        <v>775</v>
      </c>
      <c r="BB127" s="1758" t="s">
        <v>775</v>
      </c>
      <c r="BC127" t="s">
        <v>775</v>
      </c>
      <c r="BD127" t="s">
        <v>775</v>
      </c>
    </row>
    <row r="128" spans="1:56" ht="12" customHeight="1">
      <c r="A128" t="str">
        <f>IF(Schedule_A!J150="YES","Correct",IF(Schedule_A!J150="NO","Correct",IF(Schedule_A!J150="","Error","Correct")))</f>
        <v>Error</v>
      </c>
      <c r="B128" s="1510" t="s">
        <v>1126</v>
      </c>
      <c r="C128" s="1510" t="s">
        <v>191</v>
      </c>
      <c r="E128" t="str">
        <f>Schedule_A!B150</f>
        <v>Are there related party relationships between the nursing facility and the management company Input Yes or No:?</v>
      </c>
      <c r="AB128">
        <v>41111</v>
      </c>
      <c r="AC128">
        <v>4115281</v>
      </c>
      <c r="AD128" t="s">
        <v>873</v>
      </c>
      <c r="AE128">
        <v>4115281</v>
      </c>
      <c r="AF128">
        <v>1528</v>
      </c>
      <c r="AG128" s="1860">
        <v>42438</v>
      </c>
      <c r="AH128" s="1860">
        <v>523456</v>
      </c>
      <c r="AI128" t="s">
        <v>775</v>
      </c>
      <c r="AJ128" t="s">
        <v>775</v>
      </c>
      <c r="AK128" t="s">
        <v>893</v>
      </c>
      <c r="AN128" t="str">
        <f t="shared" si="2"/>
        <v>4181400NULL</v>
      </c>
      <c r="AO128" t="str">
        <f t="shared" si="3"/>
        <v>4181400NULL</v>
      </c>
      <c r="AP128" s="1758" t="s">
        <v>774</v>
      </c>
      <c r="AQ128" s="1759">
        <v>4181400</v>
      </c>
      <c r="AR128" s="1758" t="s">
        <v>775</v>
      </c>
      <c r="AS128" s="1758">
        <v>22900</v>
      </c>
      <c r="AT128" s="1760">
        <v>22900</v>
      </c>
      <c r="AU128" s="1758" t="s">
        <v>775</v>
      </c>
      <c r="AV128" s="1758">
        <v>0</v>
      </c>
      <c r="AW128" s="1758" t="s">
        <v>775</v>
      </c>
      <c r="AX128" s="1758" t="s">
        <v>775</v>
      </c>
      <c r="AY128" s="1758" t="s">
        <v>775</v>
      </c>
      <c r="AZ128" s="1758" t="s">
        <v>775</v>
      </c>
      <c r="BA128" s="1758" t="s">
        <v>775</v>
      </c>
      <c r="BB128" s="1758" t="s">
        <v>775</v>
      </c>
      <c r="BC128" t="s">
        <v>775</v>
      </c>
      <c r="BD128" t="s">
        <v>775</v>
      </c>
    </row>
    <row r="129" spans="28:56" ht="12" customHeight="1">
      <c r="AB129">
        <v>15500</v>
      </c>
      <c r="AC129">
        <v>4115411</v>
      </c>
      <c r="AD129" t="s">
        <v>873</v>
      </c>
      <c r="AE129">
        <v>4115411</v>
      </c>
      <c r="AF129">
        <v>1541</v>
      </c>
      <c r="AG129" s="1860">
        <v>42736</v>
      </c>
      <c r="AH129" s="1860">
        <v>523456</v>
      </c>
      <c r="AI129" t="s">
        <v>775</v>
      </c>
      <c r="AJ129" t="s">
        <v>775</v>
      </c>
      <c r="AK129" t="s">
        <v>894</v>
      </c>
      <c r="AN129" t="str">
        <f t="shared" si="2"/>
        <v>4181806NULL</v>
      </c>
      <c r="AO129" t="str">
        <f t="shared" si="3"/>
        <v>4181806NULL</v>
      </c>
      <c r="AP129" s="1758" t="s">
        <v>774</v>
      </c>
      <c r="AQ129" s="1759">
        <v>4181806</v>
      </c>
      <c r="AR129" s="1758" t="s">
        <v>775</v>
      </c>
      <c r="AS129" s="1758">
        <v>26060</v>
      </c>
      <c r="AT129" s="1760">
        <v>26060</v>
      </c>
      <c r="AU129" s="1758" t="s">
        <v>775</v>
      </c>
      <c r="AV129" s="1758">
        <v>0</v>
      </c>
      <c r="AW129" s="1758" t="s">
        <v>775</v>
      </c>
      <c r="AX129" s="1758" t="s">
        <v>775</v>
      </c>
      <c r="AY129" s="1758" t="s">
        <v>775</v>
      </c>
      <c r="AZ129" s="1758" t="s">
        <v>775</v>
      </c>
      <c r="BA129" s="1758" t="s">
        <v>775</v>
      </c>
      <c r="BB129" s="1758" t="s">
        <v>775</v>
      </c>
      <c r="BC129" t="s">
        <v>775</v>
      </c>
      <c r="BD129" t="s">
        <v>775</v>
      </c>
    </row>
    <row r="130" spans="28:56" ht="12" customHeight="1">
      <c r="AB130">
        <v>24900</v>
      </c>
      <c r="AC130">
        <v>4115521</v>
      </c>
      <c r="AD130" t="s">
        <v>873</v>
      </c>
      <c r="AE130">
        <v>4115521</v>
      </c>
      <c r="AF130">
        <v>1552</v>
      </c>
      <c r="AG130" s="1860">
        <v>42979</v>
      </c>
      <c r="AH130" s="1860">
        <v>523456</v>
      </c>
      <c r="AI130" t="s">
        <v>775</v>
      </c>
      <c r="AJ130" t="s">
        <v>775</v>
      </c>
      <c r="AK130" t="s">
        <v>895</v>
      </c>
      <c r="AN130" t="str">
        <f t="shared" si="2"/>
        <v>41722011114971728</v>
      </c>
      <c r="AO130" t="str">
        <f t="shared" si="3"/>
        <v>4172201NULL</v>
      </c>
      <c r="AP130" s="1758" t="s">
        <v>774</v>
      </c>
      <c r="AQ130" s="1759">
        <v>4172201</v>
      </c>
      <c r="AR130" s="1758" t="s">
        <v>775</v>
      </c>
      <c r="AS130" s="1758">
        <v>20500</v>
      </c>
      <c r="AT130" s="1760">
        <v>20500</v>
      </c>
      <c r="AU130" s="1758">
        <v>1114971728</v>
      </c>
      <c r="AV130" s="1758">
        <v>1114971728</v>
      </c>
      <c r="AW130" s="1758" t="s">
        <v>775</v>
      </c>
      <c r="AX130" s="1758" t="s">
        <v>775</v>
      </c>
      <c r="AY130" s="1758" t="s">
        <v>775</v>
      </c>
      <c r="AZ130" s="1758" t="s">
        <v>775</v>
      </c>
      <c r="BA130" s="1758" t="s">
        <v>775</v>
      </c>
      <c r="BB130" s="1758" t="s">
        <v>775</v>
      </c>
      <c r="BC130" t="s">
        <v>775</v>
      </c>
      <c r="BD130" t="s">
        <v>775</v>
      </c>
    </row>
    <row r="131" spans="28:56" ht="12" customHeight="1">
      <c r="AB131">
        <v>12500</v>
      </c>
      <c r="AC131">
        <v>4115721</v>
      </c>
      <c r="AD131" t="s">
        <v>873</v>
      </c>
      <c r="AE131">
        <v>4115721</v>
      </c>
      <c r="AF131">
        <v>1572</v>
      </c>
      <c r="AG131" s="1860">
        <v>43191</v>
      </c>
      <c r="AH131" s="1860">
        <v>523456</v>
      </c>
      <c r="AI131" t="s">
        <v>775</v>
      </c>
      <c r="AJ131" t="s">
        <v>775</v>
      </c>
      <c r="AK131" t="s">
        <v>777</v>
      </c>
      <c r="AN131" t="str">
        <f t="shared" si="2"/>
        <v>4182002NULL</v>
      </c>
      <c r="AO131" t="str">
        <f t="shared" si="3"/>
        <v>4182002NULL</v>
      </c>
      <c r="AP131" s="1758" t="s">
        <v>774</v>
      </c>
      <c r="AQ131" s="1759">
        <v>4182002</v>
      </c>
      <c r="AR131" s="1758" t="s">
        <v>775</v>
      </c>
      <c r="AS131" s="1758">
        <v>13200</v>
      </c>
      <c r="AT131" s="1760">
        <v>13200</v>
      </c>
      <c r="AU131" s="1758" t="s">
        <v>775</v>
      </c>
      <c r="AV131" s="1758">
        <v>0</v>
      </c>
      <c r="AW131" s="1758" t="s">
        <v>775</v>
      </c>
      <c r="AX131" s="1758" t="s">
        <v>775</v>
      </c>
      <c r="AY131" s="1758" t="s">
        <v>775</v>
      </c>
      <c r="AZ131" s="1758" t="s">
        <v>775</v>
      </c>
      <c r="BA131" s="1758" t="s">
        <v>775</v>
      </c>
      <c r="BB131" s="1758" t="s">
        <v>775</v>
      </c>
      <c r="BC131" t="s">
        <v>775</v>
      </c>
      <c r="BD131" t="s">
        <v>775</v>
      </c>
    </row>
    <row r="132" spans="28:56" ht="12" customHeight="1">
      <c r="AB132">
        <v>17400</v>
      </c>
      <c r="AC132">
        <v>4115861</v>
      </c>
      <c r="AD132" t="s">
        <v>873</v>
      </c>
      <c r="AE132">
        <v>4115861</v>
      </c>
      <c r="AF132">
        <v>1586</v>
      </c>
      <c r="AG132" s="1860">
        <v>43466</v>
      </c>
      <c r="AH132" s="1860">
        <v>523456</v>
      </c>
      <c r="AI132" t="s">
        <v>775</v>
      </c>
      <c r="AJ132" t="s">
        <v>775</v>
      </c>
      <c r="AK132" t="s">
        <v>1071</v>
      </c>
      <c r="AN132" t="str">
        <f t="shared" si="2"/>
        <v>4176004NULL</v>
      </c>
      <c r="AO132" t="str">
        <f t="shared" si="3"/>
        <v>4176004NULL</v>
      </c>
      <c r="AP132" s="1758" t="s">
        <v>774</v>
      </c>
      <c r="AQ132" s="1759">
        <v>4176004</v>
      </c>
      <c r="AR132" s="1758" t="s">
        <v>775</v>
      </c>
      <c r="AS132" s="1758">
        <v>11300</v>
      </c>
      <c r="AT132" s="1760">
        <v>11300</v>
      </c>
      <c r="AU132" s="1758" t="s">
        <v>775</v>
      </c>
      <c r="AV132" s="1758">
        <v>0</v>
      </c>
      <c r="AW132" s="1758" t="s">
        <v>775</v>
      </c>
      <c r="AX132" s="1758" t="s">
        <v>775</v>
      </c>
      <c r="AY132" s="1758" t="s">
        <v>775</v>
      </c>
      <c r="AZ132" s="1758" t="s">
        <v>775</v>
      </c>
      <c r="BA132" s="1758" t="s">
        <v>775</v>
      </c>
      <c r="BB132" s="1758" t="s">
        <v>775</v>
      </c>
      <c r="BC132" t="s">
        <v>775</v>
      </c>
      <c r="BD132" t="s">
        <v>775</v>
      </c>
    </row>
    <row r="133" spans="28:56" ht="12" customHeight="1">
      <c r="AB133">
        <v>12600</v>
      </c>
      <c r="AC133">
        <v>4150702</v>
      </c>
      <c r="AD133" t="s">
        <v>873</v>
      </c>
      <c r="AE133">
        <v>4150702</v>
      </c>
      <c r="AF133">
        <v>507</v>
      </c>
      <c r="AG133" s="1860">
        <v>18266</v>
      </c>
      <c r="AH133" s="1860">
        <v>523456</v>
      </c>
      <c r="AI133" t="s">
        <v>775</v>
      </c>
      <c r="AJ133" t="s">
        <v>775</v>
      </c>
      <c r="AK133" t="s">
        <v>896</v>
      </c>
      <c r="AN133" t="str">
        <f aca="true" t="shared" si="4" ref="AN133:AN196">AQ133&amp;AU133</f>
        <v>4182705NULL</v>
      </c>
      <c r="AO133" t="str">
        <f aca="true" t="shared" si="5" ref="AO133:AO196">AQ133&amp;AW133</f>
        <v>4182705NULL</v>
      </c>
      <c r="AP133" s="1758" t="s">
        <v>774</v>
      </c>
      <c r="AQ133" s="1759">
        <v>4182705</v>
      </c>
      <c r="AR133" s="1758" t="s">
        <v>775</v>
      </c>
      <c r="AS133" s="1758">
        <v>22500</v>
      </c>
      <c r="AT133" s="1760">
        <v>22500</v>
      </c>
      <c r="AU133" s="1758" t="s">
        <v>775</v>
      </c>
      <c r="AV133" s="1758">
        <v>0</v>
      </c>
      <c r="AW133" s="1758" t="s">
        <v>775</v>
      </c>
      <c r="AX133" s="1758" t="s">
        <v>775</v>
      </c>
      <c r="AY133" s="1758" t="s">
        <v>775</v>
      </c>
      <c r="AZ133" s="1758" t="s">
        <v>775</v>
      </c>
      <c r="BA133" s="1758" t="s">
        <v>775</v>
      </c>
      <c r="BB133" s="1758" t="s">
        <v>775</v>
      </c>
      <c r="BC133" t="s">
        <v>775</v>
      </c>
      <c r="BD133" t="s">
        <v>775</v>
      </c>
    </row>
    <row r="134" spans="28:56" ht="12" customHeight="1">
      <c r="AB134">
        <v>14200</v>
      </c>
      <c r="AC134">
        <v>4152708</v>
      </c>
      <c r="AD134" t="s">
        <v>873</v>
      </c>
      <c r="AE134">
        <v>4152708</v>
      </c>
      <c r="AF134">
        <v>527</v>
      </c>
      <c r="AG134" s="1860">
        <v>28856</v>
      </c>
      <c r="AH134" s="1860">
        <v>523456</v>
      </c>
      <c r="AI134" t="s">
        <v>775</v>
      </c>
      <c r="AJ134" t="s">
        <v>775</v>
      </c>
      <c r="AK134" t="s">
        <v>897</v>
      </c>
      <c r="AN134" t="str">
        <f t="shared" si="4"/>
        <v>4110417NULL</v>
      </c>
      <c r="AO134" t="str">
        <f t="shared" si="5"/>
        <v>4110417NULL</v>
      </c>
      <c r="AP134" s="1758" t="s">
        <v>774</v>
      </c>
      <c r="AQ134" s="1759">
        <v>4110417</v>
      </c>
      <c r="AR134" s="1758" t="s">
        <v>775</v>
      </c>
      <c r="AS134" s="1758">
        <v>18100</v>
      </c>
      <c r="AT134" s="1760">
        <v>18100</v>
      </c>
      <c r="AU134" s="1758" t="s">
        <v>775</v>
      </c>
      <c r="AV134" s="1758">
        <v>0</v>
      </c>
      <c r="AW134" s="1758" t="s">
        <v>775</v>
      </c>
      <c r="AX134" s="1758" t="s">
        <v>775</v>
      </c>
      <c r="AY134" s="1758" t="s">
        <v>775</v>
      </c>
      <c r="AZ134" s="1758" t="s">
        <v>775</v>
      </c>
      <c r="BA134" s="1758" t="s">
        <v>775</v>
      </c>
      <c r="BB134" s="1758" t="s">
        <v>775</v>
      </c>
      <c r="BC134" t="s">
        <v>775</v>
      </c>
      <c r="BD134" t="s">
        <v>775</v>
      </c>
    </row>
    <row r="135" spans="28:56" ht="12" customHeight="1">
      <c r="AB135">
        <v>23500</v>
      </c>
      <c r="AC135">
        <v>4165809</v>
      </c>
      <c r="AD135" t="s">
        <v>873</v>
      </c>
      <c r="AE135">
        <v>4165809</v>
      </c>
      <c r="AF135">
        <v>658</v>
      </c>
      <c r="AG135" s="1860">
        <v>28856</v>
      </c>
      <c r="AH135" s="1860">
        <v>523456</v>
      </c>
      <c r="AI135" t="s">
        <v>775</v>
      </c>
      <c r="AJ135" t="s">
        <v>775</v>
      </c>
      <c r="AK135" t="s">
        <v>898</v>
      </c>
      <c r="AN135" t="str">
        <f t="shared" si="4"/>
        <v>4185500NULL</v>
      </c>
      <c r="AO135" t="str">
        <f t="shared" si="5"/>
        <v>4185500NULL</v>
      </c>
      <c r="AP135" s="1758" t="s">
        <v>774</v>
      </c>
      <c r="AQ135" s="1759">
        <v>4185500</v>
      </c>
      <c r="AR135" s="1758" t="s">
        <v>775</v>
      </c>
      <c r="AS135" s="1758">
        <v>22300</v>
      </c>
      <c r="AT135" s="1760">
        <v>22300</v>
      </c>
      <c r="AU135" s="1758" t="s">
        <v>775</v>
      </c>
      <c r="AV135" s="1758">
        <v>0</v>
      </c>
      <c r="AW135" s="1758" t="s">
        <v>775</v>
      </c>
      <c r="AX135" s="1758" t="s">
        <v>775</v>
      </c>
      <c r="AY135" s="1758" t="s">
        <v>775</v>
      </c>
      <c r="AZ135" s="1758" t="s">
        <v>775</v>
      </c>
      <c r="BA135" s="1758" t="s">
        <v>775</v>
      </c>
      <c r="BB135" s="1758" t="s">
        <v>775</v>
      </c>
      <c r="BC135" t="s">
        <v>775</v>
      </c>
      <c r="BD135" t="s">
        <v>775</v>
      </c>
    </row>
    <row r="136" spans="28:56" ht="12" customHeight="1">
      <c r="AB136">
        <v>19200</v>
      </c>
      <c r="AC136">
        <v>4179701</v>
      </c>
      <c r="AD136" t="s">
        <v>873</v>
      </c>
      <c r="AE136">
        <v>4179701</v>
      </c>
      <c r="AF136">
        <v>797</v>
      </c>
      <c r="AG136" s="1860">
        <v>30225</v>
      </c>
      <c r="AH136" s="1860">
        <v>523456</v>
      </c>
      <c r="AI136" t="s">
        <v>775</v>
      </c>
      <c r="AJ136" t="s">
        <v>775</v>
      </c>
      <c r="AK136" t="s">
        <v>900</v>
      </c>
      <c r="AN136" t="str">
        <f t="shared" si="4"/>
        <v>4185609NULL</v>
      </c>
      <c r="AO136" t="str">
        <f t="shared" si="5"/>
        <v>4185609NULL</v>
      </c>
      <c r="AP136" s="1758" t="s">
        <v>774</v>
      </c>
      <c r="AQ136" s="1759">
        <v>4185609</v>
      </c>
      <c r="AR136" s="1758" t="s">
        <v>775</v>
      </c>
      <c r="AS136" s="1758">
        <v>8000</v>
      </c>
      <c r="AT136" s="1760">
        <v>8000</v>
      </c>
      <c r="AU136" s="1758" t="s">
        <v>775</v>
      </c>
      <c r="AV136" s="1758">
        <v>0</v>
      </c>
      <c r="AW136" s="1758" t="s">
        <v>775</v>
      </c>
      <c r="AX136" s="1758" t="s">
        <v>775</v>
      </c>
      <c r="AY136" s="1758" t="s">
        <v>775</v>
      </c>
      <c r="AZ136" s="1758" t="s">
        <v>775</v>
      </c>
      <c r="BA136" s="1758" t="s">
        <v>775</v>
      </c>
      <c r="BB136" s="1758" t="s">
        <v>775</v>
      </c>
      <c r="BC136" t="s">
        <v>775</v>
      </c>
      <c r="BD136" t="s">
        <v>775</v>
      </c>
    </row>
    <row r="137" spans="28:56" ht="12" customHeight="1">
      <c r="AB137">
        <v>30800</v>
      </c>
      <c r="AC137">
        <v>4204509</v>
      </c>
      <c r="AD137" t="s">
        <v>873</v>
      </c>
      <c r="AE137">
        <v>4204509</v>
      </c>
      <c r="AF137">
        <v>8845</v>
      </c>
      <c r="AG137" s="1860">
        <v>27851</v>
      </c>
      <c r="AH137" s="1860">
        <v>523456</v>
      </c>
      <c r="AI137" t="s">
        <v>775</v>
      </c>
      <c r="AJ137" t="s">
        <v>775</v>
      </c>
      <c r="AK137" t="s">
        <v>902</v>
      </c>
      <c r="AN137" t="str">
        <f t="shared" si="4"/>
        <v>4113437NULL</v>
      </c>
      <c r="AO137" t="str">
        <f t="shared" si="5"/>
        <v>4113437NULL</v>
      </c>
      <c r="AP137" s="1758" t="s">
        <v>774</v>
      </c>
      <c r="AQ137" s="1759">
        <v>4113437</v>
      </c>
      <c r="AR137" s="1758" t="s">
        <v>775</v>
      </c>
      <c r="AS137" s="1758">
        <v>5600</v>
      </c>
      <c r="AT137" s="1760">
        <v>5600</v>
      </c>
      <c r="AU137" s="1758" t="s">
        <v>775</v>
      </c>
      <c r="AV137" s="1758">
        <v>0</v>
      </c>
      <c r="AW137" s="1758" t="s">
        <v>775</v>
      </c>
      <c r="AX137" s="1758" t="s">
        <v>775</v>
      </c>
      <c r="AY137" s="1758" t="s">
        <v>775</v>
      </c>
      <c r="AZ137" s="1758" t="s">
        <v>775</v>
      </c>
      <c r="BA137" s="1758" t="s">
        <v>775</v>
      </c>
      <c r="BB137" s="1758" t="s">
        <v>775</v>
      </c>
      <c r="BC137" t="s">
        <v>775</v>
      </c>
      <c r="BD137" t="s">
        <v>775</v>
      </c>
    </row>
    <row r="138" spans="28:56" ht="12" customHeight="1">
      <c r="AB138">
        <v>31500</v>
      </c>
      <c r="AC138">
        <v>4210704</v>
      </c>
      <c r="AD138" t="s">
        <v>873</v>
      </c>
      <c r="AE138">
        <v>4210704</v>
      </c>
      <c r="AF138">
        <v>107</v>
      </c>
      <c r="AG138" s="1860">
        <v>27851</v>
      </c>
      <c r="AH138" s="1860">
        <v>523456</v>
      </c>
      <c r="AI138" t="s">
        <v>775</v>
      </c>
      <c r="AJ138" t="s">
        <v>775</v>
      </c>
      <c r="AK138" t="s">
        <v>903</v>
      </c>
      <c r="AN138" t="str">
        <f t="shared" si="4"/>
        <v>4181905NULL</v>
      </c>
      <c r="AO138" t="str">
        <f t="shared" si="5"/>
        <v>4181905NULL</v>
      </c>
      <c r="AP138" s="1758" t="s">
        <v>774</v>
      </c>
      <c r="AQ138" s="1759">
        <v>4181905</v>
      </c>
      <c r="AR138" s="1758" t="s">
        <v>775</v>
      </c>
      <c r="AS138" s="1758">
        <v>10400</v>
      </c>
      <c r="AT138" s="1760">
        <v>10400</v>
      </c>
      <c r="AU138" s="1758" t="s">
        <v>775</v>
      </c>
      <c r="AV138" s="1758">
        <v>0</v>
      </c>
      <c r="AW138" s="1758" t="s">
        <v>775</v>
      </c>
      <c r="AX138" s="1758" t="s">
        <v>775</v>
      </c>
      <c r="AY138" s="1758" t="s">
        <v>775</v>
      </c>
      <c r="AZ138" s="1758" t="s">
        <v>775</v>
      </c>
      <c r="BA138" s="1758" t="s">
        <v>775</v>
      </c>
      <c r="BB138" s="1758" t="s">
        <v>775</v>
      </c>
      <c r="BC138" t="s">
        <v>775</v>
      </c>
      <c r="BD138" t="s">
        <v>775</v>
      </c>
    </row>
    <row r="139" spans="28:56" ht="12" customHeight="1">
      <c r="AB139">
        <v>14100</v>
      </c>
      <c r="AC139">
        <v>4112231</v>
      </c>
      <c r="AD139" t="s">
        <v>904</v>
      </c>
      <c r="AE139">
        <v>4112231</v>
      </c>
      <c r="AF139">
        <v>1223</v>
      </c>
      <c r="AG139" s="1860">
        <v>35551</v>
      </c>
      <c r="AH139" s="1860">
        <v>523456</v>
      </c>
      <c r="AI139" t="s">
        <v>775</v>
      </c>
      <c r="AJ139" t="s">
        <v>775</v>
      </c>
      <c r="AK139" t="s">
        <v>905</v>
      </c>
      <c r="AN139" t="str">
        <f t="shared" si="4"/>
        <v>4176616NULL</v>
      </c>
      <c r="AO139" t="str">
        <f t="shared" si="5"/>
        <v>4176616NULL</v>
      </c>
      <c r="AP139" s="1758" t="s">
        <v>774</v>
      </c>
      <c r="AQ139" s="1759">
        <v>4176616</v>
      </c>
      <c r="AR139" s="1758" t="s">
        <v>775</v>
      </c>
      <c r="AS139" s="1758">
        <v>7300</v>
      </c>
      <c r="AT139" s="1760">
        <v>7300</v>
      </c>
      <c r="AU139" s="1758" t="s">
        <v>775</v>
      </c>
      <c r="AV139" s="1758">
        <v>0</v>
      </c>
      <c r="AW139" s="1758" t="s">
        <v>775</v>
      </c>
      <c r="AX139" s="1758" t="s">
        <v>775</v>
      </c>
      <c r="AY139" s="1758" t="s">
        <v>775</v>
      </c>
      <c r="AZ139" s="1758" t="s">
        <v>775</v>
      </c>
      <c r="BA139" s="1758" t="s">
        <v>775</v>
      </c>
      <c r="BB139" s="1758" t="s">
        <v>775</v>
      </c>
      <c r="BC139" t="s">
        <v>775</v>
      </c>
      <c r="BD139" t="s">
        <v>775</v>
      </c>
    </row>
    <row r="140" spans="28:56" ht="12" customHeight="1">
      <c r="AB140">
        <v>21500</v>
      </c>
      <c r="AC140">
        <v>4112256</v>
      </c>
      <c r="AD140" t="s">
        <v>904</v>
      </c>
      <c r="AE140">
        <v>4112256</v>
      </c>
      <c r="AF140">
        <v>1225</v>
      </c>
      <c r="AG140" s="1860">
        <v>35551</v>
      </c>
      <c r="AH140" s="1860">
        <v>523456</v>
      </c>
      <c r="AI140" t="s">
        <v>775</v>
      </c>
      <c r="AJ140" t="s">
        <v>775</v>
      </c>
      <c r="AK140" t="s">
        <v>906</v>
      </c>
      <c r="AN140" t="str">
        <f t="shared" si="4"/>
        <v>4186003NULL</v>
      </c>
      <c r="AO140" t="str">
        <f t="shared" si="5"/>
        <v>4186003NULL</v>
      </c>
      <c r="AP140" s="1758" t="s">
        <v>774</v>
      </c>
      <c r="AQ140" s="1759">
        <v>4186003</v>
      </c>
      <c r="AR140" s="1758" t="s">
        <v>775</v>
      </c>
      <c r="AS140" s="1758">
        <v>7500</v>
      </c>
      <c r="AT140" s="1760">
        <v>7500</v>
      </c>
      <c r="AU140" s="1758" t="s">
        <v>775</v>
      </c>
      <c r="AV140" s="1758">
        <v>0</v>
      </c>
      <c r="AW140" s="1758" t="s">
        <v>775</v>
      </c>
      <c r="AX140" s="1758" t="s">
        <v>775</v>
      </c>
      <c r="AY140" s="1758" t="s">
        <v>775</v>
      </c>
      <c r="AZ140" s="1758" t="s">
        <v>775</v>
      </c>
      <c r="BA140" s="1758" t="s">
        <v>775</v>
      </c>
      <c r="BB140" s="1758" t="s">
        <v>775</v>
      </c>
      <c r="BC140" t="s">
        <v>775</v>
      </c>
      <c r="BD140" t="s">
        <v>775</v>
      </c>
    </row>
    <row r="141" spans="28:56" ht="12" customHeight="1">
      <c r="AB141">
        <v>35900</v>
      </c>
      <c r="AC141">
        <v>4112280</v>
      </c>
      <c r="AD141" t="s">
        <v>904</v>
      </c>
      <c r="AE141">
        <v>4112280</v>
      </c>
      <c r="AF141">
        <v>1228</v>
      </c>
      <c r="AG141" s="1860">
        <v>35551</v>
      </c>
      <c r="AH141" s="1860">
        <v>523456</v>
      </c>
      <c r="AI141" t="s">
        <v>775</v>
      </c>
      <c r="AJ141" t="s">
        <v>775</v>
      </c>
      <c r="AK141" t="s">
        <v>907</v>
      </c>
      <c r="AN141" t="str">
        <f t="shared" si="4"/>
        <v>4175105NULL</v>
      </c>
      <c r="AO141" t="str">
        <f t="shared" si="5"/>
        <v>4175105NULL</v>
      </c>
      <c r="AP141" s="1758" t="s">
        <v>774</v>
      </c>
      <c r="AQ141" s="1759">
        <v>4175105</v>
      </c>
      <c r="AR141" s="1758" t="s">
        <v>775</v>
      </c>
      <c r="AS141" s="1758">
        <v>1700</v>
      </c>
      <c r="AT141" s="1760">
        <v>1700</v>
      </c>
      <c r="AU141" s="1758" t="s">
        <v>775</v>
      </c>
      <c r="AV141" s="1758">
        <v>0</v>
      </c>
      <c r="AW141" s="1758" t="s">
        <v>775</v>
      </c>
      <c r="AX141" s="1758" t="s">
        <v>775</v>
      </c>
      <c r="AY141" s="1758" t="s">
        <v>775</v>
      </c>
      <c r="AZ141" s="1758" t="s">
        <v>775</v>
      </c>
      <c r="BA141" s="1758" t="s">
        <v>775</v>
      </c>
      <c r="BB141" s="1758" t="s">
        <v>775</v>
      </c>
      <c r="BC141" t="s">
        <v>775</v>
      </c>
      <c r="BD141" t="s">
        <v>775</v>
      </c>
    </row>
    <row r="142" spans="28:56" ht="12" customHeight="1">
      <c r="AB142">
        <v>6400</v>
      </c>
      <c r="AC142">
        <v>4112405</v>
      </c>
      <c r="AD142" t="s">
        <v>904</v>
      </c>
      <c r="AE142">
        <v>4112405</v>
      </c>
      <c r="AF142">
        <v>1240</v>
      </c>
      <c r="AG142" s="1860">
        <v>35886</v>
      </c>
      <c r="AH142" s="1860">
        <v>523456</v>
      </c>
      <c r="AI142" t="s">
        <v>775</v>
      </c>
      <c r="AJ142" t="s">
        <v>775</v>
      </c>
      <c r="AK142" t="s">
        <v>908</v>
      </c>
      <c r="AN142" t="str">
        <f t="shared" si="4"/>
        <v>4178802NULL</v>
      </c>
      <c r="AO142" t="str">
        <f t="shared" si="5"/>
        <v>4178802NULL</v>
      </c>
      <c r="AP142" s="1758" t="s">
        <v>774</v>
      </c>
      <c r="AQ142" s="1759">
        <v>4178802</v>
      </c>
      <c r="AR142" s="1758" t="s">
        <v>775</v>
      </c>
      <c r="AS142" s="1758">
        <v>13700</v>
      </c>
      <c r="AT142" s="1760">
        <v>13700</v>
      </c>
      <c r="AU142" s="1758" t="s">
        <v>775</v>
      </c>
      <c r="AV142" s="1758">
        <v>0</v>
      </c>
      <c r="AW142" s="1758" t="s">
        <v>775</v>
      </c>
      <c r="AX142" s="1758" t="s">
        <v>775</v>
      </c>
      <c r="AY142" s="1758" t="s">
        <v>775</v>
      </c>
      <c r="AZ142" s="1758" t="s">
        <v>775</v>
      </c>
      <c r="BA142" s="1758" t="s">
        <v>775</v>
      </c>
      <c r="BB142" s="1758" t="s">
        <v>775</v>
      </c>
      <c r="BC142" t="s">
        <v>775</v>
      </c>
      <c r="BD142" t="s">
        <v>775</v>
      </c>
    </row>
    <row r="143" spans="28:56" ht="12" customHeight="1">
      <c r="AB143">
        <v>11700</v>
      </c>
      <c r="AC143">
        <v>4112660</v>
      </c>
      <c r="AD143" t="s">
        <v>904</v>
      </c>
      <c r="AE143">
        <v>4112660</v>
      </c>
      <c r="AF143">
        <v>1266</v>
      </c>
      <c r="AG143" s="1860">
        <v>36008</v>
      </c>
      <c r="AH143" s="1860">
        <v>523456</v>
      </c>
      <c r="AI143" t="s">
        <v>775</v>
      </c>
      <c r="AJ143" t="s">
        <v>775</v>
      </c>
      <c r="AK143" t="s">
        <v>909</v>
      </c>
      <c r="AN143" t="str">
        <f t="shared" si="4"/>
        <v>4110722NULL</v>
      </c>
      <c r="AO143" t="str">
        <f t="shared" si="5"/>
        <v>4110722NULL</v>
      </c>
      <c r="AP143" s="1758" t="s">
        <v>774</v>
      </c>
      <c r="AQ143" s="1759">
        <v>4110722</v>
      </c>
      <c r="AR143" s="1758" t="s">
        <v>775</v>
      </c>
      <c r="AS143" s="1758">
        <v>11700</v>
      </c>
      <c r="AT143" s="1760">
        <v>11700</v>
      </c>
      <c r="AU143" s="1758" t="s">
        <v>775</v>
      </c>
      <c r="AV143" s="1758">
        <v>0</v>
      </c>
      <c r="AW143" s="1758" t="s">
        <v>775</v>
      </c>
      <c r="AX143" s="1758" t="s">
        <v>775</v>
      </c>
      <c r="AY143" s="1758" t="s">
        <v>775</v>
      </c>
      <c r="AZ143" s="1758" t="s">
        <v>775</v>
      </c>
      <c r="BA143" s="1758" t="s">
        <v>775</v>
      </c>
      <c r="BB143" s="1758" t="s">
        <v>775</v>
      </c>
      <c r="BC143" t="s">
        <v>775</v>
      </c>
      <c r="BD143" t="s">
        <v>775</v>
      </c>
    </row>
    <row r="144" spans="28:56" ht="12" customHeight="1">
      <c r="AB144">
        <v>4500</v>
      </c>
      <c r="AC144">
        <v>4112694</v>
      </c>
      <c r="AD144" t="s">
        <v>904</v>
      </c>
      <c r="AE144">
        <v>4112694</v>
      </c>
      <c r="AF144">
        <v>1269</v>
      </c>
      <c r="AG144" s="1860">
        <v>36069</v>
      </c>
      <c r="AH144" s="1860">
        <v>523456</v>
      </c>
      <c r="AI144" t="s">
        <v>775</v>
      </c>
      <c r="AJ144" t="s">
        <v>775</v>
      </c>
      <c r="AK144" t="s">
        <v>910</v>
      </c>
      <c r="AN144" t="str">
        <f t="shared" si="4"/>
        <v>4110300NULL</v>
      </c>
      <c r="AO144" t="str">
        <f t="shared" si="5"/>
        <v>4110300NULL</v>
      </c>
      <c r="AP144" s="1758" t="s">
        <v>774</v>
      </c>
      <c r="AQ144" s="1759">
        <v>4110300</v>
      </c>
      <c r="AR144" s="1758" t="s">
        <v>775</v>
      </c>
      <c r="AS144" s="1758">
        <v>6300</v>
      </c>
      <c r="AT144" s="1760">
        <v>6300</v>
      </c>
      <c r="AU144" s="1758" t="s">
        <v>775</v>
      </c>
      <c r="AV144" s="1758">
        <v>0</v>
      </c>
      <c r="AW144" s="1758" t="s">
        <v>775</v>
      </c>
      <c r="AX144" s="1758" t="s">
        <v>775</v>
      </c>
      <c r="AY144" s="1758" t="s">
        <v>775</v>
      </c>
      <c r="AZ144" s="1758" t="s">
        <v>775</v>
      </c>
      <c r="BA144" s="1758" t="s">
        <v>775</v>
      </c>
      <c r="BB144" s="1758" t="s">
        <v>775</v>
      </c>
      <c r="BC144" t="s">
        <v>775</v>
      </c>
      <c r="BD144" t="s">
        <v>775</v>
      </c>
    </row>
    <row r="145" spans="28:56" ht="12" customHeight="1">
      <c r="AB145">
        <v>40700</v>
      </c>
      <c r="AC145">
        <v>4113247</v>
      </c>
      <c r="AD145" t="s">
        <v>904</v>
      </c>
      <c r="AE145">
        <v>4113247</v>
      </c>
      <c r="AF145">
        <v>1324</v>
      </c>
      <c r="AG145" s="1860">
        <v>37135</v>
      </c>
      <c r="AH145" s="1860">
        <v>523456</v>
      </c>
      <c r="AI145" t="s">
        <v>775</v>
      </c>
      <c r="AJ145" t="s">
        <v>775</v>
      </c>
      <c r="AK145" t="s">
        <v>911</v>
      </c>
      <c r="AN145" t="str">
        <f t="shared" si="4"/>
        <v>4110128NULL</v>
      </c>
      <c r="AO145" t="str">
        <f t="shared" si="5"/>
        <v>4110128NULL</v>
      </c>
      <c r="AP145" s="1758" t="s">
        <v>774</v>
      </c>
      <c r="AQ145" s="1759">
        <v>4110128</v>
      </c>
      <c r="AR145" s="1758" t="s">
        <v>775</v>
      </c>
      <c r="AS145" s="1758">
        <v>1300</v>
      </c>
      <c r="AT145" s="1760">
        <v>1300</v>
      </c>
      <c r="AU145" s="1758" t="s">
        <v>775</v>
      </c>
      <c r="AV145" s="1758">
        <v>0</v>
      </c>
      <c r="AW145" s="1758" t="s">
        <v>775</v>
      </c>
      <c r="AX145" s="1758" t="s">
        <v>775</v>
      </c>
      <c r="AY145" s="1758" t="s">
        <v>775</v>
      </c>
      <c r="AZ145" s="1758" t="s">
        <v>775</v>
      </c>
      <c r="BA145" s="1758" t="s">
        <v>775</v>
      </c>
      <c r="BB145" s="1758" t="s">
        <v>775</v>
      </c>
      <c r="BC145" t="s">
        <v>775</v>
      </c>
      <c r="BD145" t="s">
        <v>775</v>
      </c>
    </row>
    <row r="146" spans="28:56" ht="12" customHeight="1">
      <c r="AB146">
        <v>40760</v>
      </c>
      <c r="AC146">
        <v>4113486</v>
      </c>
      <c r="AD146" t="s">
        <v>904</v>
      </c>
      <c r="AE146">
        <v>4113486</v>
      </c>
      <c r="AF146">
        <v>1348</v>
      </c>
      <c r="AG146" s="1860">
        <v>37834</v>
      </c>
      <c r="AH146" s="1860">
        <v>523456</v>
      </c>
      <c r="AI146" t="s">
        <v>775</v>
      </c>
      <c r="AJ146" t="s">
        <v>775</v>
      </c>
      <c r="AK146" t="s">
        <v>913</v>
      </c>
      <c r="AN146" t="str">
        <f t="shared" si="4"/>
        <v>4110136NULL</v>
      </c>
      <c r="AO146" t="str">
        <f t="shared" si="5"/>
        <v>4110136NULL</v>
      </c>
      <c r="AP146" s="1758" t="s">
        <v>774</v>
      </c>
      <c r="AQ146" s="1759">
        <v>4110136</v>
      </c>
      <c r="AR146" s="1758" t="s">
        <v>775</v>
      </c>
      <c r="AS146" s="1758">
        <v>1600</v>
      </c>
      <c r="AT146" s="1760">
        <v>1600</v>
      </c>
      <c r="AU146" s="1758" t="s">
        <v>775</v>
      </c>
      <c r="AV146" s="1758">
        <v>0</v>
      </c>
      <c r="AW146" s="1758" t="s">
        <v>775</v>
      </c>
      <c r="AX146" s="1758" t="s">
        <v>775</v>
      </c>
      <c r="AY146" s="1758" t="s">
        <v>775</v>
      </c>
      <c r="AZ146" s="1758" t="s">
        <v>775</v>
      </c>
      <c r="BA146" s="1758" t="s">
        <v>775</v>
      </c>
      <c r="BB146" s="1758" t="s">
        <v>775</v>
      </c>
      <c r="BC146" t="s">
        <v>775</v>
      </c>
      <c r="BD146" t="s">
        <v>775</v>
      </c>
    </row>
    <row r="147" spans="28:56" ht="12" customHeight="1">
      <c r="AB147">
        <v>40790</v>
      </c>
      <c r="AC147">
        <v>4113551</v>
      </c>
      <c r="AD147" t="s">
        <v>904</v>
      </c>
      <c r="AE147">
        <v>4113551</v>
      </c>
      <c r="AF147">
        <v>1355</v>
      </c>
      <c r="AG147" s="1860">
        <v>37956</v>
      </c>
      <c r="AH147" s="1860">
        <v>523456</v>
      </c>
      <c r="AI147" t="s">
        <v>775</v>
      </c>
      <c r="AJ147" t="s">
        <v>775</v>
      </c>
      <c r="AK147" t="s">
        <v>914</v>
      </c>
      <c r="AN147" t="str">
        <f t="shared" si="4"/>
        <v>4110425NULL</v>
      </c>
      <c r="AO147" t="str">
        <f t="shared" si="5"/>
        <v>4110425NULL</v>
      </c>
      <c r="AP147" s="1758" t="s">
        <v>774</v>
      </c>
      <c r="AQ147" s="1759">
        <v>4110425</v>
      </c>
      <c r="AR147" s="1758" t="s">
        <v>775</v>
      </c>
      <c r="AS147" s="1758">
        <v>7000</v>
      </c>
      <c r="AT147" s="1760">
        <v>7000</v>
      </c>
      <c r="AU147" s="1758" t="s">
        <v>775</v>
      </c>
      <c r="AV147" s="1758">
        <v>0</v>
      </c>
      <c r="AW147" s="1758" t="s">
        <v>775</v>
      </c>
      <c r="AX147" s="1758" t="s">
        <v>775</v>
      </c>
      <c r="AY147" s="1758" t="s">
        <v>775</v>
      </c>
      <c r="AZ147" s="1758" t="s">
        <v>775</v>
      </c>
      <c r="BA147" s="1758" t="s">
        <v>775</v>
      </c>
      <c r="BB147" s="1758" t="s">
        <v>775</v>
      </c>
      <c r="BC147" t="s">
        <v>775</v>
      </c>
      <c r="BD147" t="s">
        <v>775</v>
      </c>
    </row>
    <row r="148" spans="28:56" ht="12" customHeight="1">
      <c r="AB148">
        <v>9100</v>
      </c>
      <c r="AC148">
        <v>4113569</v>
      </c>
      <c r="AD148" t="s">
        <v>904</v>
      </c>
      <c r="AE148">
        <v>4113569</v>
      </c>
      <c r="AF148">
        <v>1356</v>
      </c>
      <c r="AG148" s="1860">
        <v>37956</v>
      </c>
      <c r="AH148" s="1860">
        <v>523456</v>
      </c>
      <c r="AI148" t="s">
        <v>775</v>
      </c>
      <c r="AJ148" t="s">
        <v>775</v>
      </c>
      <c r="AK148" t="s">
        <v>915</v>
      </c>
      <c r="AN148" t="str">
        <f t="shared" si="4"/>
        <v>41140051043257421</v>
      </c>
      <c r="AO148" t="str">
        <f t="shared" si="5"/>
        <v>4114005100103400</v>
      </c>
      <c r="AP148" s="1758" t="s">
        <v>774</v>
      </c>
      <c r="AQ148" s="1759">
        <v>4114005</v>
      </c>
      <c r="AR148" s="1758" t="s">
        <v>775</v>
      </c>
      <c r="AS148" s="1758">
        <v>40920</v>
      </c>
      <c r="AT148" s="1760">
        <v>40920</v>
      </c>
      <c r="AU148" s="1758">
        <v>1043257421</v>
      </c>
      <c r="AV148" s="1758">
        <v>1043257421</v>
      </c>
      <c r="AW148" s="1758">
        <v>100103400</v>
      </c>
      <c r="AX148" s="1758" t="s">
        <v>775</v>
      </c>
      <c r="AY148" s="1758" t="s">
        <v>775</v>
      </c>
      <c r="AZ148" s="1758" t="s">
        <v>775</v>
      </c>
      <c r="BA148" s="1758" t="s">
        <v>775</v>
      </c>
      <c r="BB148" s="1758" t="s">
        <v>775</v>
      </c>
      <c r="BC148" t="s">
        <v>775</v>
      </c>
      <c r="BD148" t="s">
        <v>775</v>
      </c>
    </row>
    <row r="149" spans="28:56" ht="12" customHeight="1">
      <c r="AB149">
        <v>25100</v>
      </c>
      <c r="AC149">
        <v>4113577</v>
      </c>
      <c r="AD149" t="s">
        <v>904</v>
      </c>
      <c r="AE149">
        <v>4113577</v>
      </c>
      <c r="AF149">
        <v>1357</v>
      </c>
      <c r="AG149" s="1860">
        <v>37956</v>
      </c>
      <c r="AH149" s="1860">
        <v>523456</v>
      </c>
      <c r="AI149" t="s">
        <v>775</v>
      </c>
      <c r="AJ149" t="s">
        <v>775</v>
      </c>
      <c r="AK149" t="s">
        <v>916</v>
      </c>
      <c r="AN149" t="str">
        <f t="shared" si="4"/>
        <v>4112991NULL</v>
      </c>
      <c r="AO149" t="str">
        <f t="shared" si="5"/>
        <v>4112991NULL</v>
      </c>
      <c r="AP149" s="1758" t="s">
        <v>774</v>
      </c>
      <c r="AQ149" s="1759">
        <v>4112991</v>
      </c>
      <c r="AR149" s="1758" t="s">
        <v>775</v>
      </c>
      <c r="AS149" s="1758">
        <v>40750</v>
      </c>
      <c r="AT149" s="1760">
        <v>40750</v>
      </c>
      <c r="AU149" s="1758" t="s">
        <v>775</v>
      </c>
      <c r="AV149" s="1758">
        <v>0</v>
      </c>
      <c r="AW149" s="1758" t="s">
        <v>775</v>
      </c>
      <c r="AX149" s="1758" t="s">
        <v>775</v>
      </c>
      <c r="AY149" s="1758" t="s">
        <v>775</v>
      </c>
      <c r="AZ149" s="1758" t="s">
        <v>775</v>
      </c>
      <c r="BA149" s="1758" t="s">
        <v>775</v>
      </c>
      <c r="BB149" s="1758" t="s">
        <v>775</v>
      </c>
      <c r="BC149" t="s">
        <v>775</v>
      </c>
      <c r="BD149" t="s">
        <v>775</v>
      </c>
    </row>
    <row r="150" spans="28:56" ht="12" customHeight="1">
      <c r="AB150">
        <v>40510</v>
      </c>
      <c r="AC150">
        <v>4113585</v>
      </c>
      <c r="AD150" t="s">
        <v>904</v>
      </c>
      <c r="AE150">
        <v>4113585</v>
      </c>
      <c r="AF150">
        <v>1358</v>
      </c>
      <c r="AG150" s="1860">
        <v>37956</v>
      </c>
      <c r="AH150" s="1860">
        <v>523456</v>
      </c>
      <c r="AI150" t="s">
        <v>775</v>
      </c>
      <c r="AJ150" t="s">
        <v>775</v>
      </c>
      <c r="AK150" t="s">
        <v>917</v>
      </c>
      <c r="AN150" t="str">
        <f t="shared" si="4"/>
        <v>41138581962456517</v>
      </c>
      <c r="AO150" t="str">
        <f t="shared" si="5"/>
        <v>4113858102324100</v>
      </c>
      <c r="AP150" s="1758" t="s">
        <v>774</v>
      </c>
      <c r="AQ150" s="1759">
        <v>4113858</v>
      </c>
      <c r="AR150" s="1758" t="s">
        <v>775</v>
      </c>
      <c r="AS150" s="1758">
        <v>9900</v>
      </c>
      <c r="AT150" s="1759">
        <v>9900</v>
      </c>
      <c r="AU150" s="1758">
        <v>1962456517</v>
      </c>
      <c r="AV150" s="1758">
        <v>1962456517</v>
      </c>
      <c r="AW150" s="1758">
        <v>102324100</v>
      </c>
      <c r="AX150" s="1758" t="s">
        <v>775</v>
      </c>
      <c r="AY150" s="1758" t="s">
        <v>775</v>
      </c>
      <c r="AZ150" s="1758" t="s">
        <v>775</v>
      </c>
      <c r="BA150" s="1758" t="s">
        <v>775</v>
      </c>
      <c r="BB150" s="1758" t="s">
        <v>775</v>
      </c>
      <c r="BC150" t="s">
        <v>775</v>
      </c>
      <c r="BD150" t="s">
        <v>775</v>
      </c>
    </row>
    <row r="151" spans="28:56" ht="12" customHeight="1">
      <c r="AB151">
        <v>19800</v>
      </c>
      <c r="AC151">
        <v>4113593</v>
      </c>
      <c r="AD151" t="s">
        <v>904</v>
      </c>
      <c r="AE151">
        <v>4113593</v>
      </c>
      <c r="AF151">
        <v>1359</v>
      </c>
      <c r="AG151" s="1860">
        <v>37956</v>
      </c>
      <c r="AH151" s="1860">
        <v>523456</v>
      </c>
      <c r="AI151" t="s">
        <v>775</v>
      </c>
      <c r="AJ151" t="s">
        <v>775</v>
      </c>
      <c r="AK151" t="s">
        <v>918</v>
      </c>
      <c r="AN151" t="str">
        <f t="shared" si="4"/>
        <v>4110052NULL</v>
      </c>
      <c r="AO151" t="str">
        <f t="shared" si="5"/>
        <v>4110052NULL</v>
      </c>
      <c r="AP151" s="1758" t="s">
        <v>774</v>
      </c>
      <c r="AQ151" s="1759">
        <v>4110052</v>
      </c>
      <c r="AR151" s="1758" t="s">
        <v>775</v>
      </c>
      <c r="AS151" s="1758">
        <v>21900</v>
      </c>
      <c r="AT151" s="1760">
        <v>21900</v>
      </c>
      <c r="AU151" s="1758" t="s">
        <v>775</v>
      </c>
      <c r="AV151" s="1758">
        <v>0</v>
      </c>
      <c r="AW151" s="1758" t="s">
        <v>775</v>
      </c>
      <c r="AX151" s="1758" t="s">
        <v>775</v>
      </c>
      <c r="AY151" s="1758" t="s">
        <v>775</v>
      </c>
      <c r="AZ151" s="1758" t="s">
        <v>775</v>
      </c>
      <c r="BA151" s="1758" t="s">
        <v>775</v>
      </c>
      <c r="BB151" s="1758" t="s">
        <v>775</v>
      </c>
      <c r="BC151" t="s">
        <v>775</v>
      </c>
      <c r="BD151" t="s">
        <v>775</v>
      </c>
    </row>
    <row r="152" spans="28:56" ht="12" customHeight="1">
      <c r="AB152">
        <v>21200</v>
      </c>
      <c r="AC152">
        <v>4113619</v>
      </c>
      <c r="AD152" t="s">
        <v>904</v>
      </c>
      <c r="AE152">
        <v>4113619</v>
      </c>
      <c r="AF152">
        <v>1361</v>
      </c>
      <c r="AG152" s="1860">
        <v>37956</v>
      </c>
      <c r="AH152" s="1860">
        <v>523456</v>
      </c>
      <c r="AI152" t="s">
        <v>775</v>
      </c>
      <c r="AJ152" t="s">
        <v>775</v>
      </c>
      <c r="AK152" t="s">
        <v>919</v>
      </c>
      <c r="AN152" t="str">
        <f t="shared" si="4"/>
        <v>4110714NULL</v>
      </c>
      <c r="AO152" t="str">
        <f t="shared" si="5"/>
        <v>4110714NULL</v>
      </c>
      <c r="AP152" s="1758" t="s">
        <v>774</v>
      </c>
      <c r="AQ152" s="1759">
        <v>4110714</v>
      </c>
      <c r="AR152" s="1758" t="s">
        <v>775</v>
      </c>
      <c r="AS152" s="1758">
        <v>7800</v>
      </c>
      <c r="AT152" s="1759">
        <v>7800</v>
      </c>
      <c r="AU152" s="1758" t="s">
        <v>775</v>
      </c>
      <c r="AV152" s="1758">
        <v>0</v>
      </c>
      <c r="AW152" s="1758" t="s">
        <v>775</v>
      </c>
      <c r="AX152" s="1758" t="s">
        <v>775</v>
      </c>
      <c r="AY152" s="1758" t="s">
        <v>775</v>
      </c>
      <c r="AZ152" s="1758" t="s">
        <v>775</v>
      </c>
      <c r="BA152" s="1758" t="s">
        <v>775</v>
      </c>
      <c r="BB152" s="1758" t="s">
        <v>775</v>
      </c>
      <c r="BC152" t="s">
        <v>775</v>
      </c>
      <c r="BD152" t="s">
        <v>775</v>
      </c>
    </row>
    <row r="153" spans="28:56" ht="12" customHeight="1">
      <c r="AB153">
        <v>19900</v>
      </c>
      <c r="AC153">
        <v>4113627</v>
      </c>
      <c r="AD153" t="s">
        <v>904</v>
      </c>
      <c r="AE153">
        <v>4113627</v>
      </c>
      <c r="AF153">
        <v>1362</v>
      </c>
      <c r="AG153" s="1860">
        <v>37956</v>
      </c>
      <c r="AH153" s="1860">
        <v>523456</v>
      </c>
      <c r="AI153" t="s">
        <v>775</v>
      </c>
      <c r="AJ153" t="s">
        <v>775</v>
      </c>
      <c r="AK153" t="s">
        <v>920</v>
      </c>
      <c r="AN153" t="str">
        <f t="shared" si="4"/>
        <v>4110169NULL</v>
      </c>
      <c r="AO153" t="str">
        <f t="shared" si="5"/>
        <v>4110169NULL</v>
      </c>
      <c r="AP153" s="1758" t="s">
        <v>774</v>
      </c>
      <c r="AQ153" s="1759">
        <v>4110169</v>
      </c>
      <c r="AR153" s="1758" t="s">
        <v>775</v>
      </c>
      <c r="AS153" s="1758">
        <v>8100</v>
      </c>
      <c r="AT153" s="1760">
        <v>8100</v>
      </c>
      <c r="AU153" s="1758" t="s">
        <v>775</v>
      </c>
      <c r="AV153" s="1758">
        <v>0</v>
      </c>
      <c r="AW153" s="1758" t="s">
        <v>775</v>
      </c>
      <c r="AX153" s="1758" t="s">
        <v>775</v>
      </c>
      <c r="AY153" s="1758" t="s">
        <v>775</v>
      </c>
      <c r="AZ153" s="1758" t="s">
        <v>775</v>
      </c>
      <c r="BA153" s="1758" t="s">
        <v>775</v>
      </c>
      <c r="BB153" s="1758" t="s">
        <v>775</v>
      </c>
      <c r="BC153" t="s">
        <v>775</v>
      </c>
      <c r="BD153" t="s">
        <v>775</v>
      </c>
    </row>
    <row r="154" spans="28:56" ht="12" customHeight="1">
      <c r="AB154">
        <v>35400</v>
      </c>
      <c r="AC154">
        <v>4113635</v>
      </c>
      <c r="AD154" t="s">
        <v>904</v>
      </c>
      <c r="AE154">
        <v>4113635</v>
      </c>
      <c r="AF154">
        <v>1363</v>
      </c>
      <c r="AG154" s="1860">
        <v>39762</v>
      </c>
      <c r="AH154" s="1860">
        <v>523456</v>
      </c>
      <c r="AI154" t="s">
        <v>775</v>
      </c>
      <c r="AJ154" t="s">
        <v>775</v>
      </c>
      <c r="AK154" t="s">
        <v>921</v>
      </c>
      <c r="AN154" t="str">
        <f t="shared" si="4"/>
        <v>4110730NULL</v>
      </c>
      <c r="AO154" t="str">
        <f t="shared" si="5"/>
        <v>4110730NULL</v>
      </c>
      <c r="AP154" s="1758" t="s">
        <v>774</v>
      </c>
      <c r="AQ154" s="1759">
        <v>4110730</v>
      </c>
      <c r="AR154" s="1758" t="s">
        <v>775</v>
      </c>
      <c r="AS154" s="1758">
        <v>16600</v>
      </c>
      <c r="AT154" s="1760">
        <v>16600</v>
      </c>
      <c r="AU154" s="1758" t="s">
        <v>775</v>
      </c>
      <c r="AV154" s="1758">
        <v>0</v>
      </c>
      <c r="AW154" s="1758" t="s">
        <v>775</v>
      </c>
      <c r="AX154" s="1758" t="s">
        <v>775</v>
      </c>
      <c r="AY154" s="1758" t="s">
        <v>775</v>
      </c>
      <c r="AZ154" s="1758" t="s">
        <v>775</v>
      </c>
      <c r="BA154" s="1758" t="s">
        <v>775</v>
      </c>
      <c r="BB154" s="1758" t="s">
        <v>775</v>
      </c>
      <c r="BC154" t="s">
        <v>775</v>
      </c>
      <c r="BD154" t="s">
        <v>775</v>
      </c>
    </row>
    <row r="155" spans="28:56" ht="12" customHeight="1">
      <c r="AB155">
        <v>40350</v>
      </c>
      <c r="AC155">
        <v>4113973</v>
      </c>
      <c r="AD155" t="s">
        <v>904</v>
      </c>
      <c r="AE155">
        <v>4113973</v>
      </c>
      <c r="AF155">
        <v>1397</v>
      </c>
      <c r="AG155" s="1860">
        <v>38930</v>
      </c>
      <c r="AH155" s="1860">
        <v>523456</v>
      </c>
      <c r="AI155" t="s">
        <v>775</v>
      </c>
      <c r="AJ155" t="s">
        <v>775</v>
      </c>
      <c r="AK155" t="s">
        <v>922</v>
      </c>
      <c r="AN155" t="str">
        <f t="shared" si="4"/>
        <v>4110748NULL</v>
      </c>
      <c r="AO155" t="str">
        <f t="shared" si="5"/>
        <v>4110748NULL</v>
      </c>
      <c r="AP155" s="1758" t="s">
        <v>774</v>
      </c>
      <c r="AQ155" s="1759">
        <v>4110748</v>
      </c>
      <c r="AR155" s="1758" t="s">
        <v>775</v>
      </c>
      <c r="AS155" s="1758">
        <v>22100</v>
      </c>
      <c r="AT155" s="1760">
        <v>22100</v>
      </c>
      <c r="AU155" s="1758" t="s">
        <v>775</v>
      </c>
      <c r="AV155" s="1758">
        <v>0</v>
      </c>
      <c r="AW155" s="1758" t="s">
        <v>775</v>
      </c>
      <c r="AX155" s="1758" t="s">
        <v>775</v>
      </c>
      <c r="AY155" s="1758" t="s">
        <v>775</v>
      </c>
      <c r="AZ155" s="1758" t="s">
        <v>775</v>
      </c>
      <c r="BA155" s="1758" t="s">
        <v>775</v>
      </c>
      <c r="BB155" s="1758" t="s">
        <v>775</v>
      </c>
      <c r="BC155" t="s">
        <v>775</v>
      </c>
      <c r="BD155" t="s">
        <v>775</v>
      </c>
    </row>
    <row r="156" spans="28:56" ht="12" customHeight="1">
      <c r="AB156">
        <v>15100</v>
      </c>
      <c r="AC156">
        <v>4114629</v>
      </c>
      <c r="AD156" t="s">
        <v>904</v>
      </c>
      <c r="AE156">
        <v>4114629</v>
      </c>
      <c r="AF156">
        <v>1462</v>
      </c>
      <c r="AG156" s="1860">
        <v>41609</v>
      </c>
      <c r="AH156" s="1860">
        <v>523456</v>
      </c>
      <c r="AI156" t="s">
        <v>775</v>
      </c>
      <c r="AJ156" t="s">
        <v>775</v>
      </c>
      <c r="AK156" t="s">
        <v>923</v>
      </c>
      <c r="AN156" t="str">
        <f t="shared" si="4"/>
        <v>4110631NULL</v>
      </c>
      <c r="AO156" t="str">
        <f t="shared" si="5"/>
        <v>4110631NULL</v>
      </c>
      <c r="AP156" s="1758" t="s">
        <v>774</v>
      </c>
      <c r="AQ156" s="1759">
        <v>4110631</v>
      </c>
      <c r="AR156" s="1758" t="s">
        <v>775</v>
      </c>
      <c r="AS156" s="1758">
        <v>33000</v>
      </c>
      <c r="AT156" s="1760">
        <v>33000</v>
      </c>
      <c r="AU156" s="1758" t="s">
        <v>775</v>
      </c>
      <c r="AV156" s="1758">
        <v>0</v>
      </c>
      <c r="AW156" s="1758" t="s">
        <v>775</v>
      </c>
      <c r="AX156" s="1758" t="s">
        <v>775</v>
      </c>
      <c r="AY156" s="1758" t="s">
        <v>775</v>
      </c>
      <c r="AZ156" s="1758" t="s">
        <v>775</v>
      </c>
      <c r="BA156" s="1758" t="s">
        <v>775</v>
      </c>
      <c r="BB156" s="1758" t="s">
        <v>775</v>
      </c>
      <c r="BC156" t="s">
        <v>775</v>
      </c>
      <c r="BD156" t="s">
        <v>775</v>
      </c>
    </row>
    <row r="157" spans="28:56" ht="12" customHeight="1">
      <c r="AB157">
        <v>12400</v>
      </c>
      <c r="AC157">
        <v>4114637</v>
      </c>
      <c r="AD157" t="s">
        <v>904</v>
      </c>
      <c r="AE157">
        <v>4114637</v>
      </c>
      <c r="AF157">
        <v>1463</v>
      </c>
      <c r="AG157" s="1860">
        <v>41609</v>
      </c>
      <c r="AH157" s="1860">
        <v>523456</v>
      </c>
      <c r="AI157" t="s">
        <v>775</v>
      </c>
      <c r="AJ157" t="s">
        <v>775</v>
      </c>
      <c r="AK157" t="s">
        <v>924</v>
      </c>
      <c r="AN157" t="str">
        <f t="shared" si="4"/>
        <v>4110789NULL</v>
      </c>
      <c r="AO157" t="str">
        <f t="shared" si="5"/>
        <v>4110789NULL</v>
      </c>
      <c r="AP157" s="1758" t="s">
        <v>774</v>
      </c>
      <c r="AQ157" s="1759">
        <v>4110789</v>
      </c>
      <c r="AR157" s="1758" t="s">
        <v>775</v>
      </c>
      <c r="AS157" s="1758">
        <v>12300</v>
      </c>
      <c r="AT157" s="1760">
        <v>12300</v>
      </c>
      <c r="AU157" s="1758" t="s">
        <v>775</v>
      </c>
      <c r="AV157" s="1758">
        <v>0</v>
      </c>
      <c r="AW157" s="1758" t="s">
        <v>775</v>
      </c>
      <c r="AX157" s="1758" t="s">
        <v>775</v>
      </c>
      <c r="AY157" s="1758" t="s">
        <v>775</v>
      </c>
      <c r="AZ157" s="1758" t="s">
        <v>775</v>
      </c>
      <c r="BA157" s="1758" t="s">
        <v>775</v>
      </c>
      <c r="BB157" s="1758" t="s">
        <v>775</v>
      </c>
      <c r="BC157" t="s">
        <v>775</v>
      </c>
      <c r="BD157" t="s">
        <v>775</v>
      </c>
    </row>
    <row r="158" spans="28:56" ht="12" customHeight="1">
      <c r="AB158">
        <v>34100</v>
      </c>
      <c r="AC158">
        <v>4114661</v>
      </c>
      <c r="AD158" t="s">
        <v>904</v>
      </c>
      <c r="AE158">
        <v>4114661</v>
      </c>
      <c r="AF158">
        <v>1466</v>
      </c>
      <c r="AG158" s="1860">
        <v>41821</v>
      </c>
      <c r="AH158" s="1860">
        <v>523456</v>
      </c>
      <c r="AI158" t="s">
        <v>775</v>
      </c>
      <c r="AJ158" t="s">
        <v>775</v>
      </c>
      <c r="AK158" t="s">
        <v>925</v>
      </c>
      <c r="AN158" t="str">
        <f t="shared" si="4"/>
        <v>4110623NULL</v>
      </c>
      <c r="AO158" t="str">
        <f t="shared" si="5"/>
        <v>4110623NULL</v>
      </c>
      <c r="AP158" s="1758" t="s">
        <v>774</v>
      </c>
      <c r="AQ158" s="1759">
        <v>4110623</v>
      </c>
      <c r="AR158" s="1758" t="s">
        <v>775</v>
      </c>
      <c r="AS158" s="1758">
        <v>3400</v>
      </c>
      <c r="AT158" s="1760">
        <v>3400</v>
      </c>
      <c r="AU158" s="1758" t="s">
        <v>775</v>
      </c>
      <c r="AV158" s="1758">
        <v>0</v>
      </c>
      <c r="AW158" s="1758" t="s">
        <v>775</v>
      </c>
      <c r="AX158" s="1758" t="s">
        <v>775</v>
      </c>
      <c r="AY158" s="1758" t="s">
        <v>775</v>
      </c>
      <c r="AZ158" s="1758" t="s">
        <v>775</v>
      </c>
      <c r="BA158" s="1758" t="s">
        <v>775</v>
      </c>
      <c r="BB158" s="1758" t="s">
        <v>775</v>
      </c>
      <c r="BC158" t="s">
        <v>775</v>
      </c>
      <c r="BD158" t="s">
        <v>775</v>
      </c>
    </row>
    <row r="159" spans="28:56" ht="12" customHeight="1">
      <c r="AB159">
        <v>35010</v>
      </c>
      <c r="AC159">
        <v>4114670</v>
      </c>
      <c r="AD159" t="s">
        <v>904</v>
      </c>
      <c r="AE159">
        <v>4114670</v>
      </c>
      <c r="AF159">
        <v>1467</v>
      </c>
      <c r="AG159" s="1860">
        <v>41791</v>
      </c>
      <c r="AH159" s="1860">
        <v>523456</v>
      </c>
      <c r="AI159" t="s">
        <v>775</v>
      </c>
      <c r="AJ159" t="s">
        <v>775</v>
      </c>
      <c r="AK159" t="s">
        <v>926</v>
      </c>
      <c r="AN159" t="str">
        <f t="shared" si="4"/>
        <v>4110813NULL</v>
      </c>
      <c r="AO159" t="str">
        <f t="shared" si="5"/>
        <v>4110813NULL</v>
      </c>
      <c r="AP159" s="1758" t="s">
        <v>774</v>
      </c>
      <c r="AQ159" s="1759">
        <v>4110813</v>
      </c>
      <c r="AR159" s="1758" t="s">
        <v>775</v>
      </c>
      <c r="AS159" s="1758">
        <v>3200</v>
      </c>
      <c r="AT159" s="1760">
        <v>3200</v>
      </c>
      <c r="AU159" s="1758" t="s">
        <v>775</v>
      </c>
      <c r="AV159" s="1758">
        <v>0</v>
      </c>
      <c r="AW159" s="1758" t="s">
        <v>775</v>
      </c>
      <c r="AX159" s="1758" t="s">
        <v>775</v>
      </c>
      <c r="AY159" s="1758" t="s">
        <v>775</v>
      </c>
      <c r="AZ159" s="1758" t="s">
        <v>775</v>
      </c>
      <c r="BA159" s="1758" t="s">
        <v>775</v>
      </c>
      <c r="BB159" s="1758" t="s">
        <v>775</v>
      </c>
      <c r="BC159" t="s">
        <v>775</v>
      </c>
      <c r="BD159" t="s">
        <v>775</v>
      </c>
    </row>
    <row r="160" spans="28:56" ht="12" customHeight="1">
      <c r="AB160">
        <v>40170</v>
      </c>
      <c r="AC160">
        <v>4114712</v>
      </c>
      <c r="AD160" t="s">
        <v>904</v>
      </c>
      <c r="AE160">
        <v>4114712</v>
      </c>
      <c r="AF160">
        <v>1471</v>
      </c>
      <c r="AG160" s="1860">
        <v>41883</v>
      </c>
      <c r="AH160" s="1860">
        <v>523456</v>
      </c>
      <c r="AI160" t="s">
        <v>775</v>
      </c>
      <c r="AJ160" t="s">
        <v>775</v>
      </c>
      <c r="AK160" t="s">
        <v>927</v>
      </c>
      <c r="AN160" t="str">
        <f t="shared" si="4"/>
        <v>4110821NULL</v>
      </c>
      <c r="AO160" t="str">
        <f t="shared" si="5"/>
        <v>4110821NULL</v>
      </c>
      <c r="AP160" s="1758" t="s">
        <v>774</v>
      </c>
      <c r="AQ160" s="1759">
        <v>4110821</v>
      </c>
      <c r="AR160" s="1758" t="s">
        <v>775</v>
      </c>
      <c r="AS160" s="1758">
        <v>33400</v>
      </c>
      <c r="AT160" s="1760">
        <v>33400</v>
      </c>
      <c r="AU160" s="1758" t="s">
        <v>775</v>
      </c>
      <c r="AV160" s="1758">
        <v>0</v>
      </c>
      <c r="AW160" s="1758" t="s">
        <v>775</v>
      </c>
      <c r="AX160" s="1758" t="s">
        <v>775</v>
      </c>
      <c r="AY160" s="1758" t="s">
        <v>775</v>
      </c>
      <c r="AZ160" s="1758" t="s">
        <v>775</v>
      </c>
      <c r="BA160" s="1758" t="s">
        <v>775</v>
      </c>
      <c r="BB160" s="1758" t="s">
        <v>775</v>
      </c>
      <c r="BC160" t="s">
        <v>775</v>
      </c>
      <c r="BD160" t="s">
        <v>775</v>
      </c>
    </row>
    <row r="161" spans="28:56" ht="12" customHeight="1">
      <c r="AB161">
        <v>13800</v>
      </c>
      <c r="AC161">
        <v>4114729</v>
      </c>
      <c r="AD161" t="s">
        <v>904</v>
      </c>
      <c r="AE161">
        <v>4114729</v>
      </c>
      <c r="AF161">
        <v>1472</v>
      </c>
      <c r="AG161" s="1860">
        <v>41883</v>
      </c>
      <c r="AH161" s="1860">
        <v>523456</v>
      </c>
      <c r="AI161" t="s">
        <v>775</v>
      </c>
      <c r="AJ161" t="s">
        <v>775</v>
      </c>
      <c r="AK161" t="s">
        <v>928</v>
      </c>
      <c r="AN161" t="str">
        <f t="shared" si="4"/>
        <v>4110698NULL</v>
      </c>
      <c r="AO161" t="str">
        <f t="shared" si="5"/>
        <v>4110698NULL</v>
      </c>
      <c r="AP161" s="1758" t="s">
        <v>774</v>
      </c>
      <c r="AQ161" s="1759">
        <v>4110698</v>
      </c>
      <c r="AR161" s="1758" t="s">
        <v>775</v>
      </c>
      <c r="AS161" s="1758">
        <v>40160</v>
      </c>
      <c r="AT161" s="1760">
        <v>40160</v>
      </c>
      <c r="AU161" s="1758" t="s">
        <v>775</v>
      </c>
      <c r="AV161" s="1758">
        <v>0</v>
      </c>
      <c r="AW161" s="1758" t="s">
        <v>775</v>
      </c>
      <c r="AX161" s="1758" t="s">
        <v>775</v>
      </c>
      <c r="AY161" s="1758" t="s">
        <v>775</v>
      </c>
      <c r="AZ161" s="1758" t="s">
        <v>775</v>
      </c>
      <c r="BA161" s="1758" t="s">
        <v>775</v>
      </c>
      <c r="BB161" s="1758" t="s">
        <v>775</v>
      </c>
      <c r="BC161" t="s">
        <v>775</v>
      </c>
      <c r="BD161" t="s">
        <v>775</v>
      </c>
    </row>
    <row r="162" spans="28:56" ht="12" customHeight="1">
      <c r="AB162">
        <v>12900</v>
      </c>
      <c r="AC162">
        <v>4114737</v>
      </c>
      <c r="AD162" t="s">
        <v>904</v>
      </c>
      <c r="AE162">
        <v>4114737</v>
      </c>
      <c r="AF162">
        <v>1473</v>
      </c>
      <c r="AG162" s="1860">
        <v>41883</v>
      </c>
      <c r="AH162" s="1860">
        <v>523456</v>
      </c>
      <c r="AI162" t="s">
        <v>775</v>
      </c>
      <c r="AJ162" t="s">
        <v>775</v>
      </c>
      <c r="AK162" t="s">
        <v>929</v>
      </c>
      <c r="AN162" t="str">
        <f t="shared" si="4"/>
        <v>4110896NULL</v>
      </c>
      <c r="AO162" t="str">
        <f t="shared" si="5"/>
        <v>4110896NULL</v>
      </c>
      <c r="AP162" s="1758" t="s">
        <v>774</v>
      </c>
      <c r="AQ162" s="1759">
        <v>4110896</v>
      </c>
      <c r="AR162" s="1758" t="s">
        <v>775</v>
      </c>
      <c r="AS162" s="1758">
        <v>35600</v>
      </c>
      <c r="AT162" s="1760">
        <v>35600</v>
      </c>
      <c r="AU162" s="1758" t="s">
        <v>775</v>
      </c>
      <c r="AV162" s="1758">
        <v>0</v>
      </c>
      <c r="AW162" s="1758" t="s">
        <v>775</v>
      </c>
      <c r="AX162" s="1758" t="s">
        <v>775</v>
      </c>
      <c r="AY162" s="1758" t="s">
        <v>775</v>
      </c>
      <c r="AZ162" s="1758" t="s">
        <v>775</v>
      </c>
      <c r="BA162" s="1758" t="s">
        <v>775</v>
      </c>
      <c r="BB162" s="1758" t="s">
        <v>775</v>
      </c>
      <c r="BC162" t="s">
        <v>775</v>
      </c>
      <c r="BD162" t="s">
        <v>775</v>
      </c>
    </row>
    <row r="163" spans="28:56" ht="12" customHeight="1">
      <c r="AB163">
        <v>35050</v>
      </c>
      <c r="AC163">
        <v>4114745</v>
      </c>
      <c r="AD163" t="s">
        <v>904</v>
      </c>
      <c r="AE163">
        <v>4114745</v>
      </c>
      <c r="AF163">
        <v>1474</v>
      </c>
      <c r="AG163" s="1860">
        <v>41883</v>
      </c>
      <c r="AH163" s="1860">
        <v>523456</v>
      </c>
      <c r="AI163" t="s">
        <v>775</v>
      </c>
      <c r="AJ163" t="s">
        <v>775</v>
      </c>
      <c r="AK163" t="s">
        <v>930</v>
      </c>
      <c r="AN163" t="str">
        <f t="shared" si="4"/>
        <v>4110342NULL</v>
      </c>
      <c r="AO163" t="str">
        <f t="shared" si="5"/>
        <v>4110342NULL</v>
      </c>
      <c r="AP163" s="1758" t="s">
        <v>774</v>
      </c>
      <c r="AQ163" s="1759">
        <v>4110342</v>
      </c>
      <c r="AR163" s="1758" t="s">
        <v>987</v>
      </c>
      <c r="AS163" s="1758">
        <v>35010</v>
      </c>
      <c r="AT163" s="1760">
        <v>35010</v>
      </c>
      <c r="AU163" s="1758" t="s">
        <v>775</v>
      </c>
      <c r="AV163" s="1758">
        <v>0</v>
      </c>
      <c r="AW163" s="1758" t="s">
        <v>775</v>
      </c>
      <c r="AX163" s="1758" t="s">
        <v>775</v>
      </c>
      <c r="AY163" s="1758" t="s">
        <v>775</v>
      </c>
      <c r="AZ163" s="1758" t="s">
        <v>775</v>
      </c>
      <c r="BA163" s="1758" t="s">
        <v>775</v>
      </c>
      <c r="BB163" s="1758" t="s">
        <v>775</v>
      </c>
      <c r="BC163" t="s">
        <v>775</v>
      </c>
      <c r="BD163" t="s">
        <v>775</v>
      </c>
    </row>
    <row r="164" spans="28:56" ht="12" customHeight="1">
      <c r="AB164">
        <v>10100</v>
      </c>
      <c r="AC164">
        <v>4114761</v>
      </c>
      <c r="AD164" t="s">
        <v>904</v>
      </c>
      <c r="AE164">
        <v>4114761</v>
      </c>
      <c r="AF164">
        <v>1476</v>
      </c>
      <c r="AG164" s="1860">
        <v>41885</v>
      </c>
      <c r="AH164" s="1860">
        <v>523456</v>
      </c>
      <c r="AI164" t="s">
        <v>775</v>
      </c>
      <c r="AJ164" t="s">
        <v>775</v>
      </c>
      <c r="AK164" t="s">
        <v>931</v>
      </c>
      <c r="AN164" t="str">
        <f t="shared" si="4"/>
        <v>4110144NULL</v>
      </c>
      <c r="AO164" t="str">
        <f t="shared" si="5"/>
        <v>4110144NULL</v>
      </c>
      <c r="AP164" s="1758" t="s">
        <v>774</v>
      </c>
      <c r="AQ164" s="1759">
        <v>4110144</v>
      </c>
      <c r="AR164" s="1758" t="s">
        <v>775</v>
      </c>
      <c r="AS164" s="1758">
        <v>13600</v>
      </c>
      <c r="AT164" s="1760">
        <v>13600</v>
      </c>
      <c r="AU164" s="1758" t="s">
        <v>775</v>
      </c>
      <c r="AV164" s="1758">
        <v>0</v>
      </c>
      <c r="AW164" s="1758" t="s">
        <v>775</v>
      </c>
      <c r="AX164" s="1758" t="s">
        <v>775</v>
      </c>
      <c r="AY164" s="1758" t="s">
        <v>775</v>
      </c>
      <c r="AZ164" s="1758" t="s">
        <v>775</v>
      </c>
      <c r="BA164" s="1758" t="s">
        <v>775</v>
      </c>
      <c r="BB164" s="1758" t="s">
        <v>775</v>
      </c>
      <c r="BC164" t="s">
        <v>775</v>
      </c>
      <c r="BD164" t="s">
        <v>775</v>
      </c>
    </row>
    <row r="165" spans="28:56" ht="12" customHeight="1">
      <c r="AB165">
        <v>5600</v>
      </c>
      <c r="AC165">
        <v>4114770</v>
      </c>
      <c r="AD165" t="s">
        <v>904</v>
      </c>
      <c r="AE165">
        <v>4114770</v>
      </c>
      <c r="AF165">
        <v>1477</v>
      </c>
      <c r="AG165" s="1860">
        <v>41885</v>
      </c>
      <c r="AH165" s="1860">
        <v>523456</v>
      </c>
      <c r="AI165" t="s">
        <v>775</v>
      </c>
      <c r="AJ165" t="s">
        <v>775</v>
      </c>
      <c r="AK165" t="s">
        <v>932</v>
      </c>
      <c r="AN165" t="str">
        <f t="shared" si="4"/>
        <v>4110367NULL</v>
      </c>
      <c r="AO165" t="str">
        <f t="shared" si="5"/>
        <v>4110367NULL</v>
      </c>
      <c r="AP165" s="1758" t="s">
        <v>774</v>
      </c>
      <c r="AQ165" s="1759">
        <v>4110367</v>
      </c>
      <c r="AR165" s="1758" t="s">
        <v>775</v>
      </c>
      <c r="AS165" s="1758">
        <v>19300</v>
      </c>
      <c r="AT165" s="1760">
        <v>19300</v>
      </c>
      <c r="AU165" s="1758" t="s">
        <v>775</v>
      </c>
      <c r="AV165" s="1758">
        <v>0</v>
      </c>
      <c r="AW165" s="1758" t="s">
        <v>775</v>
      </c>
      <c r="AX165" s="1758" t="s">
        <v>775</v>
      </c>
      <c r="AY165" s="1758" t="s">
        <v>775</v>
      </c>
      <c r="AZ165" s="1758" t="s">
        <v>775</v>
      </c>
      <c r="BA165" s="1758" t="s">
        <v>775</v>
      </c>
      <c r="BB165" s="1758" t="s">
        <v>775</v>
      </c>
      <c r="BC165" t="s">
        <v>775</v>
      </c>
      <c r="BD165" t="s">
        <v>775</v>
      </c>
    </row>
    <row r="166" spans="28:56" ht="12" customHeight="1">
      <c r="AB166">
        <v>7600</v>
      </c>
      <c r="AC166">
        <v>4114788</v>
      </c>
      <c r="AD166" t="s">
        <v>904</v>
      </c>
      <c r="AE166">
        <v>4114788</v>
      </c>
      <c r="AF166">
        <v>1478</v>
      </c>
      <c r="AG166" s="1860">
        <v>41885</v>
      </c>
      <c r="AH166" s="1860">
        <v>523456</v>
      </c>
      <c r="AI166" t="s">
        <v>775</v>
      </c>
      <c r="AJ166" t="s">
        <v>775</v>
      </c>
      <c r="AK166" t="s">
        <v>933</v>
      </c>
      <c r="AN166" t="str">
        <f t="shared" si="4"/>
        <v>4110375NULL</v>
      </c>
      <c r="AO166" t="str">
        <f t="shared" si="5"/>
        <v>4110375NULL</v>
      </c>
      <c r="AP166" s="1758" t="s">
        <v>774</v>
      </c>
      <c r="AQ166" s="1759">
        <v>4110375</v>
      </c>
      <c r="AR166" s="1758" t="s">
        <v>775</v>
      </c>
      <c r="AS166" s="1758">
        <v>24000</v>
      </c>
      <c r="AT166" s="1760">
        <v>24000</v>
      </c>
      <c r="AU166" s="1758" t="s">
        <v>775</v>
      </c>
      <c r="AV166" s="1758">
        <v>0</v>
      </c>
      <c r="AW166" s="1758" t="s">
        <v>775</v>
      </c>
      <c r="AX166" s="1758" t="s">
        <v>775</v>
      </c>
      <c r="AY166" s="1758" t="s">
        <v>775</v>
      </c>
      <c r="AZ166" s="1758" t="s">
        <v>775</v>
      </c>
      <c r="BA166" s="1758" t="s">
        <v>775</v>
      </c>
      <c r="BB166" s="1758" t="s">
        <v>775</v>
      </c>
      <c r="BC166" t="s">
        <v>775</v>
      </c>
      <c r="BD166" t="s">
        <v>775</v>
      </c>
    </row>
    <row r="167" spans="28:56" ht="12" customHeight="1">
      <c r="AB167">
        <v>40670</v>
      </c>
      <c r="AC167">
        <v>4115021</v>
      </c>
      <c r="AD167" t="s">
        <v>904</v>
      </c>
      <c r="AE167">
        <v>4115021</v>
      </c>
      <c r="AF167">
        <v>1502</v>
      </c>
      <c r="AG167" s="1860">
        <v>42036</v>
      </c>
      <c r="AH167" s="1860">
        <v>523456</v>
      </c>
      <c r="AI167" t="s">
        <v>775</v>
      </c>
      <c r="AJ167" t="s">
        <v>775</v>
      </c>
      <c r="AK167" t="s">
        <v>934</v>
      </c>
      <c r="AN167" t="str">
        <f t="shared" si="4"/>
        <v>4110383NULL</v>
      </c>
      <c r="AO167" t="str">
        <f t="shared" si="5"/>
        <v>4110383NULL</v>
      </c>
      <c r="AP167" s="1758" t="s">
        <v>774</v>
      </c>
      <c r="AQ167" s="1759">
        <v>4110383</v>
      </c>
      <c r="AR167" s="1758" t="s">
        <v>775</v>
      </c>
      <c r="AS167" s="1758">
        <v>24100</v>
      </c>
      <c r="AT167" s="1760">
        <v>24100</v>
      </c>
      <c r="AU167" s="1758" t="s">
        <v>775</v>
      </c>
      <c r="AV167" s="1758">
        <v>0</v>
      </c>
      <c r="AW167" s="1758" t="s">
        <v>775</v>
      </c>
      <c r="AX167" s="1758" t="s">
        <v>775</v>
      </c>
      <c r="AY167" s="1758" t="s">
        <v>775</v>
      </c>
      <c r="AZ167" s="1758" t="s">
        <v>775</v>
      </c>
      <c r="BA167" s="1758" t="s">
        <v>775</v>
      </c>
      <c r="BB167" s="1758" t="s">
        <v>775</v>
      </c>
      <c r="BC167" t="s">
        <v>775</v>
      </c>
      <c r="BD167" t="s">
        <v>775</v>
      </c>
    </row>
    <row r="168" spans="28:56" ht="12" customHeight="1">
      <c r="AB168">
        <v>23300</v>
      </c>
      <c r="AC168">
        <v>4115101</v>
      </c>
      <c r="AD168" t="s">
        <v>904</v>
      </c>
      <c r="AE168">
        <v>4115101</v>
      </c>
      <c r="AF168">
        <v>1510</v>
      </c>
      <c r="AG168" s="1860">
        <v>42125</v>
      </c>
      <c r="AH168" s="1860">
        <v>523456</v>
      </c>
      <c r="AI168" t="s">
        <v>775</v>
      </c>
      <c r="AJ168" t="s">
        <v>775</v>
      </c>
      <c r="AK168" t="s">
        <v>935</v>
      </c>
      <c r="AN168" t="str">
        <f t="shared" si="4"/>
        <v>4110391NULL</v>
      </c>
      <c r="AO168" t="str">
        <f t="shared" si="5"/>
        <v>4110391NULL</v>
      </c>
      <c r="AP168" s="1758" t="s">
        <v>774</v>
      </c>
      <c r="AQ168" s="1759">
        <v>4110391</v>
      </c>
      <c r="AR168" s="1758" t="s">
        <v>775</v>
      </c>
      <c r="AS168" s="1758">
        <v>23900</v>
      </c>
      <c r="AT168" s="1760">
        <v>23900</v>
      </c>
      <c r="AU168" s="1758" t="s">
        <v>775</v>
      </c>
      <c r="AV168" s="1758">
        <v>0</v>
      </c>
      <c r="AW168" s="1758" t="s">
        <v>775</v>
      </c>
      <c r="AX168" s="1758" t="s">
        <v>775</v>
      </c>
      <c r="AY168" s="1758" t="s">
        <v>775</v>
      </c>
      <c r="AZ168" s="1758" t="s">
        <v>775</v>
      </c>
      <c r="BA168" s="1758" t="s">
        <v>775</v>
      </c>
      <c r="BB168" s="1758" t="s">
        <v>775</v>
      </c>
      <c r="BC168" t="s">
        <v>775</v>
      </c>
      <c r="BD168" t="s">
        <v>775</v>
      </c>
    </row>
    <row r="169" spans="28:56" ht="12" customHeight="1">
      <c r="AB169">
        <v>17800</v>
      </c>
      <c r="AC169">
        <v>4115111</v>
      </c>
      <c r="AD169" t="s">
        <v>904</v>
      </c>
      <c r="AE169">
        <v>4115111</v>
      </c>
      <c r="AF169">
        <v>1511</v>
      </c>
      <c r="AG169" s="1860">
        <v>42186</v>
      </c>
      <c r="AH169" s="1860">
        <v>523456</v>
      </c>
      <c r="AI169" t="s">
        <v>775</v>
      </c>
      <c r="AJ169" t="s">
        <v>775</v>
      </c>
      <c r="AK169" t="s">
        <v>936</v>
      </c>
      <c r="AN169" t="str">
        <f t="shared" si="4"/>
        <v>42129081962576777</v>
      </c>
      <c r="AO169" t="str">
        <f t="shared" si="5"/>
        <v>4212908104640300</v>
      </c>
      <c r="AP169" s="1758" t="s">
        <v>774</v>
      </c>
      <c r="AQ169" s="1759">
        <v>4212908</v>
      </c>
      <c r="AR169" s="1758" t="s">
        <v>775</v>
      </c>
      <c r="AS169" s="1758">
        <v>39940</v>
      </c>
      <c r="AT169" s="1760">
        <v>39940</v>
      </c>
      <c r="AU169" s="1758">
        <v>1962576777</v>
      </c>
      <c r="AV169" s="1758">
        <v>1962576777</v>
      </c>
      <c r="AW169" s="1758">
        <v>104640300</v>
      </c>
      <c r="AX169" s="1758" t="s">
        <v>775</v>
      </c>
      <c r="AY169" s="1758" t="s">
        <v>775</v>
      </c>
      <c r="AZ169" s="1758" t="s">
        <v>775</v>
      </c>
      <c r="BA169" s="1758" t="s">
        <v>775</v>
      </c>
      <c r="BB169" s="1758" t="s">
        <v>775</v>
      </c>
      <c r="BC169" t="s">
        <v>775</v>
      </c>
      <c r="BD169" t="s">
        <v>775</v>
      </c>
    </row>
    <row r="170" spans="28:56" ht="12" customHeight="1">
      <c r="AB170">
        <v>31550</v>
      </c>
      <c r="AC170">
        <v>4115271</v>
      </c>
      <c r="AD170" t="s">
        <v>904</v>
      </c>
      <c r="AE170">
        <v>4115271</v>
      </c>
      <c r="AF170">
        <v>1527</v>
      </c>
      <c r="AG170" s="1860">
        <v>43678</v>
      </c>
      <c r="AH170" s="1860">
        <v>523456</v>
      </c>
      <c r="AI170" t="s">
        <v>775</v>
      </c>
      <c r="AJ170" t="s">
        <v>775</v>
      </c>
      <c r="AK170" t="s">
        <v>1072</v>
      </c>
      <c r="AN170" t="str">
        <f t="shared" si="4"/>
        <v>4110078NULL</v>
      </c>
      <c r="AO170" t="str">
        <f t="shared" si="5"/>
        <v>4110078NULL</v>
      </c>
      <c r="AP170" s="1758" t="s">
        <v>774</v>
      </c>
      <c r="AQ170" s="1759">
        <v>4110078</v>
      </c>
      <c r="AR170" s="1758" t="s">
        <v>775</v>
      </c>
      <c r="AS170" s="1758">
        <v>17700</v>
      </c>
      <c r="AT170" s="1760">
        <v>17700</v>
      </c>
      <c r="AU170" s="1758" t="s">
        <v>775</v>
      </c>
      <c r="AV170" s="1758">
        <v>0</v>
      </c>
      <c r="AW170" s="1758" t="s">
        <v>775</v>
      </c>
      <c r="AX170" s="1758" t="s">
        <v>775</v>
      </c>
      <c r="AY170" s="1758" t="s">
        <v>775</v>
      </c>
      <c r="AZ170" s="1758" t="s">
        <v>775</v>
      </c>
      <c r="BA170" s="1758" t="s">
        <v>775</v>
      </c>
      <c r="BB170" s="1758" t="s">
        <v>775</v>
      </c>
      <c r="BC170" t="s">
        <v>775</v>
      </c>
      <c r="BD170" t="s">
        <v>775</v>
      </c>
    </row>
    <row r="171" spans="28:56" ht="12" customHeight="1">
      <c r="AB171">
        <v>32400</v>
      </c>
      <c r="AC171">
        <v>4115441</v>
      </c>
      <c r="AD171" t="s">
        <v>904</v>
      </c>
      <c r="AE171">
        <v>4115441</v>
      </c>
      <c r="AF171">
        <v>1544</v>
      </c>
      <c r="AG171" s="1860">
        <v>42795</v>
      </c>
      <c r="AH171" s="1860">
        <v>523456</v>
      </c>
      <c r="AI171" t="s">
        <v>775</v>
      </c>
      <c r="AJ171" t="s">
        <v>775</v>
      </c>
      <c r="AK171" t="s">
        <v>937</v>
      </c>
      <c r="AN171" t="str">
        <f t="shared" si="4"/>
        <v>4100608NULL</v>
      </c>
      <c r="AO171" t="str">
        <f t="shared" si="5"/>
        <v>4100608NULL</v>
      </c>
      <c r="AP171" s="1758" t="s">
        <v>774</v>
      </c>
      <c r="AQ171" s="1759">
        <v>4100608</v>
      </c>
      <c r="AR171" s="1758" t="s">
        <v>775</v>
      </c>
      <c r="AS171" s="1758">
        <v>35700</v>
      </c>
      <c r="AT171" s="1759">
        <v>35700</v>
      </c>
      <c r="AU171" s="1758" t="s">
        <v>775</v>
      </c>
      <c r="AV171" s="1758">
        <v>0</v>
      </c>
      <c r="AW171" s="1758" t="s">
        <v>775</v>
      </c>
      <c r="AX171" s="1758" t="s">
        <v>775</v>
      </c>
      <c r="AY171" s="1758" t="s">
        <v>775</v>
      </c>
      <c r="AZ171" s="1758" t="s">
        <v>775</v>
      </c>
      <c r="BA171" s="1758" t="s">
        <v>775</v>
      </c>
      <c r="BB171" s="1758" t="s">
        <v>775</v>
      </c>
      <c r="BC171" t="s">
        <v>775</v>
      </c>
      <c r="BD171" t="s">
        <v>775</v>
      </c>
    </row>
    <row r="172" spans="28:56" ht="12" customHeight="1">
      <c r="AB172">
        <v>40250</v>
      </c>
      <c r="AC172">
        <v>4115531</v>
      </c>
      <c r="AD172" t="s">
        <v>904</v>
      </c>
      <c r="AE172">
        <v>4115531</v>
      </c>
      <c r="AF172">
        <v>1553</v>
      </c>
      <c r="AG172" s="1860">
        <v>43009</v>
      </c>
      <c r="AH172" s="1860">
        <v>523456</v>
      </c>
      <c r="AI172" t="s">
        <v>775</v>
      </c>
      <c r="AJ172" t="s">
        <v>775</v>
      </c>
      <c r="AK172" t="s">
        <v>938</v>
      </c>
      <c r="AN172" t="str">
        <f t="shared" si="4"/>
        <v>4110862NULL</v>
      </c>
      <c r="AO172" t="str">
        <f t="shared" si="5"/>
        <v>4110862NULL</v>
      </c>
      <c r="AP172" s="1758" t="s">
        <v>774</v>
      </c>
      <c r="AQ172" s="1759">
        <v>4110862</v>
      </c>
      <c r="AR172" s="1758" t="s">
        <v>775</v>
      </c>
      <c r="AS172" s="1758">
        <v>22200</v>
      </c>
      <c r="AT172" s="1760">
        <v>22200</v>
      </c>
      <c r="AU172" s="1758" t="s">
        <v>775</v>
      </c>
      <c r="AV172" s="1758">
        <v>0</v>
      </c>
      <c r="AW172" s="1758" t="s">
        <v>775</v>
      </c>
      <c r="AX172" s="1758" t="s">
        <v>775</v>
      </c>
      <c r="AY172" s="1758" t="s">
        <v>775</v>
      </c>
      <c r="AZ172" s="1758" t="s">
        <v>775</v>
      </c>
      <c r="BA172" s="1758" t="s">
        <v>775</v>
      </c>
      <c r="BB172" s="1758" t="s">
        <v>775</v>
      </c>
      <c r="BC172" t="s">
        <v>775</v>
      </c>
      <c r="BD172" t="s">
        <v>775</v>
      </c>
    </row>
    <row r="173" spans="28:56" ht="12" customHeight="1">
      <c r="AB173">
        <v>12700</v>
      </c>
      <c r="AC173">
        <v>4115541</v>
      </c>
      <c r="AD173" t="s">
        <v>904</v>
      </c>
      <c r="AE173">
        <v>4115541</v>
      </c>
      <c r="AF173">
        <v>1554</v>
      </c>
      <c r="AG173" s="1860">
        <v>43012</v>
      </c>
      <c r="AH173" s="1860">
        <v>523456</v>
      </c>
      <c r="AI173" t="s">
        <v>775</v>
      </c>
      <c r="AJ173" t="s">
        <v>775</v>
      </c>
      <c r="AK173" t="s">
        <v>939</v>
      </c>
      <c r="AN173" t="str">
        <f t="shared" si="4"/>
        <v>42150181699851840</v>
      </c>
      <c r="AO173" t="str">
        <f t="shared" si="5"/>
        <v>4215018100235300</v>
      </c>
      <c r="AP173" s="1758" t="s">
        <v>774</v>
      </c>
      <c r="AQ173" s="1759">
        <v>4215018</v>
      </c>
      <c r="AR173" s="1758" t="s">
        <v>775</v>
      </c>
      <c r="AS173" s="1758">
        <v>31902</v>
      </c>
      <c r="AT173" s="1760">
        <v>31902</v>
      </c>
      <c r="AU173" s="1758">
        <v>1699851840</v>
      </c>
      <c r="AV173" s="1758">
        <v>1699851840</v>
      </c>
      <c r="AW173" s="1758">
        <v>100235300</v>
      </c>
      <c r="AX173" s="1758" t="s">
        <v>775</v>
      </c>
      <c r="AY173" s="1758" t="s">
        <v>775</v>
      </c>
      <c r="AZ173" s="1758" t="s">
        <v>775</v>
      </c>
      <c r="BA173" s="1758" t="s">
        <v>775</v>
      </c>
      <c r="BB173" s="1758" t="s">
        <v>775</v>
      </c>
      <c r="BC173" t="s">
        <v>775</v>
      </c>
      <c r="BD173" t="s">
        <v>775</v>
      </c>
    </row>
    <row r="174" spans="28:56" ht="12" customHeight="1">
      <c r="AB174">
        <v>17500</v>
      </c>
      <c r="AC174">
        <v>4115731</v>
      </c>
      <c r="AD174" t="s">
        <v>904</v>
      </c>
      <c r="AE174">
        <v>4115731</v>
      </c>
      <c r="AF174">
        <v>1573</v>
      </c>
      <c r="AG174" s="1860">
        <v>43234</v>
      </c>
      <c r="AH174" s="1860">
        <v>523456</v>
      </c>
      <c r="AI174" t="s">
        <v>775</v>
      </c>
      <c r="AJ174" t="s">
        <v>775</v>
      </c>
      <c r="AK174" t="s">
        <v>778</v>
      </c>
      <c r="AN174" t="str">
        <f t="shared" si="4"/>
        <v>42173111427092162</v>
      </c>
      <c r="AO174" t="str">
        <f t="shared" si="5"/>
        <v>4217311101013400</v>
      </c>
      <c r="AP174" s="1758" t="s">
        <v>774</v>
      </c>
      <c r="AQ174" s="1759">
        <v>4217311</v>
      </c>
      <c r="AR174" s="1758" t="s">
        <v>775</v>
      </c>
      <c r="AS174" s="1758">
        <v>40300</v>
      </c>
      <c r="AT174" s="1760">
        <v>40300</v>
      </c>
      <c r="AU174" s="1758">
        <v>1427092162</v>
      </c>
      <c r="AV174" s="1758">
        <v>1427092162</v>
      </c>
      <c r="AW174" s="1758">
        <v>101013400</v>
      </c>
      <c r="AX174" s="1758" t="s">
        <v>775</v>
      </c>
      <c r="AY174" s="1758" t="s">
        <v>775</v>
      </c>
      <c r="AZ174" s="1758" t="s">
        <v>775</v>
      </c>
      <c r="BA174" s="1758" t="s">
        <v>775</v>
      </c>
      <c r="BB174" s="1758" t="s">
        <v>775</v>
      </c>
      <c r="BC174" t="s">
        <v>775</v>
      </c>
      <c r="BD174" t="s">
        <v>775</v>
      </c>
    </row>
    <row r="175" spans="28:56" ht="12" customHeight="1">
      <c r="AB175">
        <v>1200</v>
      </c>
      <c r="AC175">
        <v>4104808</v>
      </c>
      <c r="AD175" t="s">
        <v>940</v>
      </c>
      <c r="AE175">
        <v>4104808</v>
      </c>
      <c r="AF175">
        <v>48</v>
      </c>
      <c r="AG175" s="1860">
        <v>27851</v>
      </c>
      <c r="AH175" s="1860">
        <v>523456</v>
      </c>
      <c r="AI175" t="s">
        <v>775</v>
      </c>
      <c r="AJ175" t="s">
        <v>775</v>
      </c>
      <c r="AK175" t="s">
        <v>941</v>
      </c>
      <c r="AN175" t="str">
        <f t="shared" si="4"/>
        <v>41481021063591998</v>
      </c>
      <c r="AO175" t="str">
        <f t="shared" si="5"/>
        <v>4148102100165000</v>
      </c>
      <c r="AP175" s="1758" t="s">
        <v>774</v>
      </c>
      <c r="AQ175" s="1759">
        <v>4148102</v>
      </c>
      <c r="AR175" s="1758" t="s">
        <v>775</v>
      </c>
      <c r="AS175" s="1758">
        <v>10900</v>
      </c>
      <c r="AT175" s="1759">
        <v>10900</v>
      </c>
      <c r="AU175" s="1758">
        <v>1063591998</v>
      </c>
      <c r="AV175" s="1758">
        <v>1063591998</v>
      </c>
      <c r="AW175" s="1758">
        <v>100165000</v>
      </c>
      <c r="AX175" s="1758" t="s">
        <v>775</v>
      </c>
      <c r="AY175" s="1758" t="s">
        <v>775</v>
      </c>
      <c r="AZ175" s="1758" t="s">
        <v>775</v>
      </c>
      <c r="BA175" s="1758" t="s">
        <v>775</v>
      </c>
      <c r="BB175" s="1758" t="s">
        <v>775</v>
      </c>
      <c r="BC175" t="s">
        <v>775</v>
      </c>
      <c r="BD175" t="s">
        <v>775</v>
      </c>
    </row>
    <row r="176" spans="28:56" ht="12" customHeight="1">
      <c r="AB176">
        <v>35040</v>
      </c>
      <c r="AC176">
        <v>4110946</v>
      </c>
      <c r="AD176" t="s">
        <v>940</v>
      </c>
      <c r="AE176">
        <v>4110946</v>
      </c>
      <c r="AF176">
        <v>1094</v>
      </c>
      <c r="AG176" s="1860">
        <v>33604</v>
      </c>
      <c r="AH176" s="1860">
        <v>523456</v>
      </c>
      <c r="AI176" t="s">
        <v>775</v>
      </c>
      <c r="AJ176" t="s">
        <v>775</v>
      </c>
      <c r="AK176" t="s">
        <v>942</v>
      </c>
      <c r="AN176" t="str">
        <f t="shared" si="4"/>
        <v>41124881447270251</v>
      </c>
      <c r="AO176" t="str">
        <f t="shared" si="5"/>
        <v>4112488101060400</v>
      </c>
      <c r="AP176" s="1758" t="s">
        <v>774</v>
      </c>
      <c r="AQ176" s="1759">
        <v>4112488</v>
      </c>
      <c r="AR176" s="1758" t="s">
        <v>775</v>
      </c>
      <c r="AS176" s="1758">
        <v>19300</v>
      </c>
      <c r="AT176" s="1759">
        <v>19300</v>
      </c>
      <c r="AU176" s="1758">
        <v>1447270251</v>
      </c>
      <c r="AV176" s="1758">
        <v>1447270251</v>
      </c>
      <c r="AW176" s="1758">
        <v>101060400</v>
      </c>
      <c r="AX176" s="1758" t="s">
        <v>775</v>
      </c>
      <c r="AY176" s="1758" t="s">
        <v>775</v>
      </c>
      <c r="AZ176" s="1758" t="s">
        <v>775</v>
      </c>
      <c r="BA176" s="1758" t="s">
        <v>775</v>
      </c>
      <c r="BB176" s="1758" t="s">
        <v>775</v>
      </c>
      <c r="BC176" t="s">
        <v>775</v>
      </c>
      <c r="BD176" t="s">
        <v>775</v>
      </c>
    </row>
    <row r="177" spans="28:56" ht="12" customHeight="1">
      <c r="AB177">
        <v>40580</v>
      </c>
      <c r="AC177">
        <v>4113650</v>
      </c>
      <c r="AD177" t="s">
        <v>1073</v>
      </c>
      <c r="AE177">
        <v>4113650</v>
      </c>
      <c r="AF177">
        <v>1365</v>
      </c>
      <c r="AG177" s="1860">
        <v>37987</v>
      </c>
      <c r="AH177" s="1860">
        <v>523456</v>
      </c>
      <c r="AI177" t="s">
        <v>775</v>
      </c>
      <c r="AJ177" t="s">
        <v>775</v>
      </c>
      <c r="AK177" t="s">
        <v>943</v>
      </c>
      <c r="AN177" t="str">
        <f t="shared" si="4"/>
        <v>41126111023028586</v>
      </c>
      <c r="AO177" t="str">
        <f t="shared" si="5"/>
        <v>4112611100051400</v>
      </c>
      <c r="AP177" s="1758" t="s">
        <v>774</v>
      </c>
      <c r="AQ177" s="1759">
        <v>4112611</v>
      </c>
      <c r="AR177" s="1758" t="s">
        <v>775</v>
      </c>
      <c r="AS177" s="1758">
        <v>23900</v>
      </c>
      <c r="AT177" s="1759">
        <v>23900</v>
      </c>
      <c r="AU177" s="1758">
        <v>1023028586</v>
      </c>
      <c r="AV177" s="1758">
        <v>1023028586</v>
      </c>
      <c r="AW177" s="1758">
        <v>100051400</v>
      </c>
      <c r="AX177" s="1758" t="s">
        <v>775</v>
      </c>
      <c r="AY177" s="1758" t="s">
        <v>775</v>
      </c>
      <c r="AZ177" s="1758" t="s">
        <v>775</v>
      </c>
      <c r="BA177" s="1758" t="s">
        <v>775</v>
      </c>
      <c r="BB177" s="1758" t="s">
        <v>775</v>
      </c>
      <c r="BC177" t="s">
        <v>775</v>
      </c>
      <c r="BD177" t="s">
        <v>775</v>
      </c>
    </row>
    <row r="178" spans="28:56" ht="12" customHeight="1">
      <c r="AB178">
        <v>18900</v>
      </c>
      <c r="AC178">
        <v>4113825</v>
      </c>
      <c r="AD178" t="s">
        <v>940</v>
      </c>
      <c r="AE178">
        <v>4113825</v>
      </c>
      <c r="AF178">
        <v>1382</v>
      </c>
      <c r="AG178" s="1860">
        <v>38659</v>
      </c>
      <c r="AH178" s="1860">
        <v>523456</v>
      </c>
      <c r="AI178" t="s">
        <v>775</v>
      </c>
      <c r="AJ178" t="s">
        <v>775</v>
      </c>
      <c r="AK178" t="s">
        <v>944</v>
      </c>
      <c r="AN178" t="str">
        <f t="shared" si="4"/>
        <v>4110177NULL</v>
      </c>
      <c r="AO178" t="str">
        <f t="shared" si="5"/>
        <v>4110177NULL</v>
      </c>
      <c r="AP178" s="1758" t="s">
        <v>774</v>
      </c>
      <c r="AQ178" s="1759">
        <v>4110177</v>
      </c>
      <c r="AR178" s="1758" t="s">
        <v>775</v>
      </c>
      <c r="AS178" s="1758">
        <v>5100</v>
      </c>
      <c r="AT178" s="1759">
        <v>5100</v>
      </c>
      <c r="AU178" s="1758" t="s">
        <v>775</v>
      </c>
      <c r="AV178" s="1758">
        <v>0</v>
      </c>
      <c r="AW178" s="1758" t="s">
        <v>775</v>
      </c>
      <c r="AX178" s="1758" t="s">
        <v>775</v>
      </c>
      <c r="AY178" s="1758" t="s">
        <v>775</v>
      </c>
      <c r="AZ178" s="1758" t="s">
        <v>775</v>
      </c>
      <c r="BA178" s="1758" t="s">
        <v>775</v>
      </c>
      <c r="BB178" s="1758" t="s">
        <v>775</v>
      </c>
      <c r="BC178" t="s">
        <v>775</v>
      </c>
      <c r="BD178" t="s">
        <v>775</v>
      </c>
    </row>
    <row r="179" spans="28:56" ht="12" customHeight="1">
      <c r="AB179">
        <v>2300</v>
      </c>
      <c r="AC179">
        <v>4114302</v>
      </c>
      <c r="AD179" t="s">
        <v>940</v>
      </c>
      <c r="AE179">
        <v>4114302</v>
      </c>
      <c r="AF179">
        <v>143</v>
      </c>
      <c r="AG179" s="1860">
        <v>27851</v>
      </c>
      <c r="AH179" s="1860">
        <v>523456</v>
      </c>
      <c r="AI179" t="s">
        <v>775</v>
      </c>
      <c r="AJ179" t="s">
        <v>775</v>
      </c>
      <c r="AK179" t="s">
        <v>945</v>
      </c>
      <c r="AN179" t="str">
        <f t="shared" si="4"/>
        <v>41123551669419271</v>
      </c>
      <c r="AO179" t="str">
        <f t="shared" si="5"/>
        <v>4112355NULL</v>
      </c>
      <c r="AP179" s="1758" t="s">
        <v>774</v>
      </c>
      <c r="AQ179" s="1759">
        <v>4112355</v>
      </c>
      <c r="AR179" s="1758" t="s">
        <v>987</v>
      </c>
      <c r="AS179" s="1758">
        <v>40640</v>
      </c>
      <c r="AT179" s="1759">
        <v>40640</v>
      </c>
      <c r="AU179" s="1758">
        <v>1669419271</v>
      </c>
      <c r="AV179" s="1758">
        <v>1669419271</v>
      </c>
      <c r="AW179" s="1758" t="s">
        <v>775</v>
      </c>
      <c r="AX179" s="1758" t="s">
        <v>775</v>
      </c>
      <c r="AY179" s="1758" t="s">
        <v>775</v>
      </c>
      <c r="AZ179" s="1758" t="s">
        <v>775</v>
      </c>
      <c r="BA179" s="1758" t="s">
        <v>775</v>
      </c>
      <c r="BB179" s="1758" t="s">
        <v>775</v>
      </c>
      <c r="BC179" t="s">
        <v>775</v>
      </c>
      <c r="BD179" t="s">
        <v>775</v>
      </c>
    </row>
    <row r="180" spans="28:56" ht="12" customHeight="1">
      <c r="AB180">
        <v>12100</v>
      </c>
      <c r="AC180">
        <v>4114393</v>
      </c>
      <c r="AD180" t="s">
        <v>940</v>
      </c>
      <c r="AE180">
        <v>4114393</v>
      </c>
      <c r="AF180">
        <v>1439</v>
      </c>
      <c r="AG180" s="1860">
        <v>40391</v>
      </c>
      <c r="AH180" s="1860">
        <v>523456</v>
      </c>
      <c r="AI180" t="s">
        <v>775</v>
      </c>
      <c r="AJ180" t="s">
        <v>775</v>
      </c>
      <c r="AK180" t="s">
        <v>946</v>
      </c>
      <c r="AN180" t="str">
        <f t="shared" si="4"/>
        <v>4110334NULL</v>
      </c>
      <c r="AO180" t="str">
        <f t="shared" si="5"/>
        <v>4110334NULL</v>
      </c>
      <c r="AP180" s="1758" t="s">
        <v>774</v>
      </c>
      <c r="AQ180" s="1759">
        <v>4110334</v>
      </c>
      <c r="AR180" s="1758" t="s">
        <v>775</v>
      </c>
      <c r="AS180" s="1758">
        <v>17500</v>
      </c>
      <c r="AT180" s="1760">
        <v>17500</v>
      </c>
      <c r="AU180" s="1758" t="s">
        <v>775</v>
      </c>
      <c r="AV180" s="1758">
        <v>0</v>
      </c>
      <c r="AW180" s="1758" t="s">
        <v>775</v>
      </c>
      <c r="AX180" s="1758" t="s">
        <v>775</v>
      </c>
      <c r="AY180" s="1758" t="s">
        <v>775</v>
      </c>
      <c r="AZ180" s="1758" t="s">
        <v>775</v>
      </c>
      <c r="BA180" s="1758" t="s">
        <v>775</v>
      </c>
      <c r="BB180" s="1758" t="s">
        <v>775</v>
      </c>
      <c r="BC180" t="s">
        <v>775</v>
      </c>
      <c r="BD180" t="s">
        <v>775</v>
      </c>
    </row>
    <row r="181" spans="28:56" ht="12" customHeight="1">
      <c r="AB181">
        <v>11300</v>
      </c>
      <c r="AC181">
        <v>4115401</v>
      </c>
      <c r="AD181" t="s">
        <v>940</v>
      </c>
      <c r="AE181">
        <v>4115401</v>
      </c>
      <c r="AF181">
        <v>1540</v>
      </c>
      <c r="AG181" s="1860">
        <v>42639</v>
      </c>
      <c r="AH181" s="1860">
        <v>523456</v>
      </c>
      <c r="AI181" t="s">
        <v>775</v>
      </c>
      <c r="AJ181" t="s">
        <v>775</v>
      </c>
      <c r="AK181" t="s">
        <v>947</v>
      </c>
      <c r="AN181" t="str">
        <f t="shared" si="4"/>
        <v>4111415NULL</v>
      </c>
      <c r="AO181" t="str">
        <f t="shared" si="5"/>
        <v>4111415NULL</v>
      </c>
      <c r="AP181" s="1758" t="s">
        <v>774</v>
      </c>
      <c r="AQ181" s="1759">
        <v>4111415</v>
      </c>
      <c r="AR181" s="1758" t="s">
        <v>775</v>
      </c>
      <c r="AS181" s="1758">
        <v>40370</v>
      </c>
      <c r="AT181" s="1760">
        <v>40370</v>
      </c>
      <c r="AU181" s="1758" t="s">
        <v>775</v>
      </c>
      <c r="AV181" s="1758">
        <v>0</v>
      </c>
      <c r="AW181" s="1758" t="s">
        <v>775</v>
      </c>
      <c r="AX181" s="1758" t="s">
        <v>775</v>
      </c>
      <c r="AY181" s="1758" t="s">
        <v>775</v>
      </c>
      <c r="AZ181" s="1758" t="s">
        <v>775</v>
      </c>
      <c r="BA181" s="1758" t="s">
        <v>775</v>
      </c>
      <c r="BB181" s="1758" t="s">
        <v>775</v>
      </c>
      <c r="BC181" t="s">
        <v>775</v>
      </c>
      <c r="BD181" t="s">
        <v>775</v>
      </c>
    </row>
    <row r="182" spans="28:56" ht="12" customHeight="1">
      <c r="AB182">
        <v>41112</v>
      </c>
      <c r="AC182">
        <v>4115511</v>
      </c>
      <c r="AD182" t="s">
        <v>940</v>
      </c>
      <c r="AE182">
        <v>4115511</v>
      </c>
      <c r="AF182">
        <v>1551</v>
      </c>
      <c r="AG182" s="1860">
        <v>42965</v>
      </c>
      <c r="AH182" s="1860">
        <v>523456</v>
      </c>
      <c r="AI182" t="s">
        <v>775</v>
      </c>
      <c r="AJ182" t="s">
        <v>775</v>
      </c>
      <c r="AK182" t="s">
        <v>948</v>
      </c>
      <c r="AN182" t="str">
        <f t="shared" si="4"/>
        <v>4111035NULL</v>
      </c>
      <c r="AO182" t="str">
        <f t="shared" si="5"/>
        <v>4111035NULL</v>
      </c>
      <c r="AP182" s="1758" t="s">
        <v>774</v>
      </c>
      <c r="AQ182" s="1759">
        <v>4111035</v>
      </c>
      <c r="AR182" s="1758" t="s">
        <v>775</v>
      </c>
      <c r="AS182" s="1758">
        <v>12900</v>
      </c>
      <c r="AT182" s="1760">
        <v>12900</v>
      </c>
      <c r="AU182" s="1758" t="s">
        <v>775</v>
      </c>
      <c r="AV182" s="1758">
        <v>0</v>
      </c>
      <c r="AW182" s="1758" t="s">
        <v>775</v>
      </c>
      <c r="AX182" s="1758" t="s">
        <v>775</v>
      </c>
      <c r="AY182" s="1758" t="s">
        <v>775</v>
      </c>
      <c r="AZ182" s="1758" t="s">
        <v>775</v>
      </c>
      <c r="BA182" s="1758" t="s">
        <v>775</v>
      </c>
      <c r="BB182" s="1758" t="s">
        <v>775</v>
      </c>
      <c r="BC182" t="s">
        <v>775</v>
      </c>
      <c r="BD182" t="s">
        <v>775</v>
      </c>
    </row>
    <row r="183" spans="28:56" ht="12" customHeight="1">
      <c r="AB183">
        <v>16006</v>
      </c>
      <c r="AC183">
        <v>4115561</v>
      </c>
      <c r="AD183" t="s">
        <v>940</v>
      </c>
      <c r="AE183">
        <v>4115561</v>
      </c>
      <c r="AF183">
        <v>1556</v>
      </c>
      <c r="AG183" s="1860">
        <v>43070</v>
      </c>
      <c r="AH183" s="1860">
        <v>523456</v>
      </c>
      <c r="AI183" t="s">
        <v>775</v>
      </c>
      <c r="AJ183" t="s">
        <v>775</v>
      </c>
      <c r="AK183" t="s">
        <v>949</v>
      </c>
      <c r="AN183" t="str">
        <f t="shared" si="4"/>
        <v>4111282NULL</v>
      </c>
      <c r="AO183" t="str">
        <f t="shared" si="5"/>
        <v>4111282NULL</v>
      </c>
      <c r="AP183" s="1758" t="s">
        <v>774</v>
      </c>
      <c r="AQ183" s="1759">
        <v>4111282</v>
      </c>
      <c r="AR183" s="1758" t="s">
        <v>775</v>
      </c>
      <c r="AS183" s="1758">
        <v>12700</v>
      </c>
      <c r="AT183" s="1760">
        <v>12700</v>
      </c>
      <c r="AU183" s="1758" t="s">
        <v>775</v>
      </c>
      <c r="AV183" s="1758">
        <v>0</v>
      </c>
      <c r="AW183" s="1758" t="s">
        <v>775</v>
      </c>
      <c r="AX183" s="1758" t="s">
        <v>775</v>
      </c>
      <c r="AY183" s="1758" t="s">
        <v>775</v>
      </c>
      <c r="AZ183" s="1758" t="s">
        <v>775</v>
      </c>
      <c r="BA183" s="1758" t="s">
        <v>775</v>
      </c>
      <c r="BB183" s="1758" t="s">
        <v>775</v>
      </c>
      <c r="BC183" t="s">
        <v>775</v>
      </c>
      <c r="BD183" t="s">
        <v>775</v>
      </c>
    </row>
    <row r="184" spans="28:56" ht="12" customHeight="1">
      <c r="AB184">
        <v>21300</v>
      </c>
      <c r="AC184">
        <v>4115571</v>
      </c>
      <c r="AD184" t="s">
        <v>940</v>
      </c>
      <c r="AE184">
        <v>4115571</v>
      </c>
      <c r="AF184">
        <v>1557</v>
      </c>
      <c r="AG184" s="1860">
        <v>43070</v>
      </c>
      <c r="AH184" s="1860">
        <v>523456</v>
      </c>
      <c r="AI184" t="s">
        <v>775</v>
      </c>
      <c r="AJ184" t="s">
        <v>775</v>
      </c>
      <c r="AK184" t="s">
        <v>950</v>
      </c>
      <c r="AN184" t="str">
        <f t="shared" si="4"/>
        <v>4111274NULL</v>
      </c>
      <c r="AO184" t="str">
        <f t="shared" si="5"/>
        <v>4111274NULL</v>
      </c>
      <c r="AP184" s="1758" t="s">
        <v>774</v>
      </c>
      <c r="AQ184" s="1759">
        <v>4111274</v>
      </c>
      <c r="AR184" s="1758" t="s">
        <v>775</v>
      </c>
      <c r="AS184" s="1758">
        <v>13600</v>
      </c>
      <c r="AT184" s="1760">
        <v>13600</v>
      </c>
      <c r="AU184" s="1758" t="s">
        <v>775</v>
      </c>
      <c r="AV184" s="1758">
        <v>0</v>
      </c>
      <c r="AW184" s="1758" t="s">
        <v>775</v>
      </c>
      <c r="AX184" s="1758" t="s">
        <v>775</v>
      </c>
      <c r="AY184" s="1758" t="s">
        <v>775</v>
      </c>
      <c r="AZ184" s="1758" t="s">
        <v>775</v>
      </c>
      <c r="BA184" s="1758" t="s">
        <v>775</v>
      </c>
      <c r="BB184" s="1758" t="s">
        <v>775</v>
      </c>
      <c r="BC184" t="s">
        <v>775</v>
      </c>
      <c r="BD184" t="s">
        <v>775</v>
      </c>
    </row>
    <row r="185" spans="28:56" ht="12" customHeight="1">
      <c r="AB185">
        <v>13700</v>
      </c>
      <c r="AC185">
        <v>4115581</v>
      </c>
      <c r="AD185" t="s">
        <v>940</v>
      </c>
      <c r="AE185">
        <v>4115581</v>
      </c>
      <c r="AF185">
        <v>1558</v>
      </c>
      <c r="AG185" s="1860">
        <v>43070</v>
      </c>
      <c r="AH185" s="1860">
        <v>523456</v>
      </c>
      <c r="AI185" t="s">
        <v>775</v>
      </c>
      <c r="AJ185" t="s">
        <v>775</v>
      </c>
      <c r="AK185" t="s">
        <v>951</v>
      </c>
      <c r="AN185" t="str">
        <f t="shared" si="4"/>
        <v>4111233NULL</v>
      </c>
      <c r="AO185" t="str">
        <f t="shared" si="5"/>
        <v>4111233NULL</v>
      </c>
      <c r="AP185" s="1758" t="s">
        <v>774</v>
      </c>
      <c r="AQ185" s="1759">
        <v>4111233</v>
      </c>
      <c r="AR185" s="1758" t="s">
        <v>775</v>
      </c>
      <c r="AS185" s="1758">
        <v>14000</v>
      </c>
      <c r="AT185" s="1760">
        <v>14000</v>
      </c>
      <c r="AU185" s="1758" t="s">
        <v>775</v>
      </c>
      <c r="AV185" s="1758">
        <v>0</v>
      </c>
      <c r="AW185" s="1758" t="s">
        <v>775</v>
      </c>
      <c r="AX185" s="1758" t="s">
        <v>775</v>
      </c>
      <c r="AY185" s="1758" t="s">
        <v>775</v>
      </c>
      <c r="AZ185" s="1758" t="s">
        <v>775</v>
      </c>
      <c r="BA185" s="1758" t="s">
        <v>775</v>
      </c>
      <c r="BB185" s="1758" t="s">
        <v>775</v>
      </c>
      <c r="BC185" t="s">
        <v>775</v>
      </c>
      <c r="BD185" t="s">
        <v>775</v>
      </c>
    </row>
    <row r="186" spans="28:56" ht="12" customHeight="1">
      <c r="AB186">
        <v>18200</v>
      </c>
      <c r="AC186">
        <v>4115591</v>
      </c>
      <c r="AD186" t="s">
        <v>940</v>
      </c>
      <c r="AE186">
        <v>4115591</v>
      </c>
      <c r="AF186">
        <v>1559</v>
      </c>
      <c r="AG186" s="1860">
        <v>43070</v>
      </c>
      <c r="AH186" s="1860">
        <v>523456</v>
      </c>
      <c r="AI186" t="s">
        <v>775</v>
      </c>
      <c r="AJ186" t="s">
        <v>775</v>
      </c>
      <c r="AK186" t="s">
        <v>952</v>
      </c>
      <c r="AN186" t="str">
        <f t="shared" si="4"/>
        <v>4111225NULL</v>
      </c>
      <c r="AO186" t="str">
        <f t="shared" si="5"/>
        <v>4111225NULL</v>
      </c>
      <c r="AP186" s="1758" t="s">
        <v>774</v>
      </c>
      <c r="AQ186" s="1759">
        <v>4111225</v>
      </c>
      <c r="AR186" s="1758" t="s">
        <v>775</v>
      </c>
      <c r="AS186" s="1758">
        <v>17400</v>
      </c>
      <c r="AT186" s="1760">
        <v>17400</v>
      </c>
      <c r="AU186" s="1758" t="s">
        <v>775</v>
      </c>
      <c r="AV186" s="1758">
        <v>0</v>
      </c>
      <c r="AW186" s="1758" t="s">
        <v>775</v>
      </c>
      <c r="AX186" s="1758" t="s">
        <v>775</v>
      </c>
      <c r="AY186" s="1758" t="s">
        <v>775</v>
      </c>
      <c r="AZ186" s="1758" t="s">
        <v>775</v>
      </c>
      <c r="BA186" s="1758" t="s">
        <v>775</v>
      </c>
      <c r="BB186" s="1758" t="s">
        <v>775</v>
      </c>
      <c r="BC186" t="s">
        <v>775</v>
      </c>
      <c r="BD186" t="s">
        <v>775</v>
      </c>
    </row>
    <row r="187" spans="28:56" ht="12" customHeight="1">
      <c r="AB187">
        <v>24400</v>
      </c>
      <c r="AC187">
        <v>4115601</v>
      </c>
      <c r="AD187" t="s">
        <v>940</v>
      </c>
      <c r="AE187">
        <v>4115601</v>
      </c>
      <c r="AF187">
        <v>1560</v>
      </c>
      <c r="AG187" s="1860">
        <v>43070</v>
      </c>
      <c r="AH187" s="1860">
        <v>523456</v>
      </c>
      <c r="AI187" t="s">
        <v>775</v>
      </c>
      <c r="AJ187" t="s">
        <v>775</v>
      </c>
      <c r="AK187" t="s">
        <v>953</v>
      </c>
      <c r="AN187" t="str">
        <f t="shared" si="4"/>
        <v>4111217NULL</v>
      </c>
      <c r="AO187" t="str">
        <f t="shared" si="5"/>
        <v>4111217NULL</v>
      </c>
      <c r="AP187" s="1758" t="s">
        <v>774</v>
      </c>
      <c r="AQ187" s="1759">
        <v>4111217</v>
      </c>
      <c r="AR187" s="1758" t="s">
        <v>775</v>
      </c>
      <c r="AS187" s="1758">
        <v>5100</v>
      </c>
      <c r="AT187" s="1760">
        <v>5100</v>
      </c>
      <c r="AU187" s="1758" t="s">
        <v>775</v>
      </c>
      <c r="AV187" s="1758">
        <v>0</v>
      </c>
      <c r="AW187" s="1758" t="s">
        <v>775</v>
      </c>
      <c r="AX187" s="1758" t="s">
        <v>775</v>
      </c>
      <c r="AY187" s="1758" t="s">
        <v>775</v>
      </c>
      <c r="AZ187" s="1758" t="s">
        <v>775</v>
      </c>
      <c r="BA187" s="1758" t="s">
        <v>775</v>
      </c>
      <c r="BB187" s="1758" t="s">
        <v>775</v>
      </c>
      <c r="BC187" t="s">
        <v>775</v>
      </c>
      <c r="BD187" t="s">
        <v>775</v>
      </c>
    </row>
    <row r="188" spans="28:56" ht="12" customHeight="1">
      <c r="AB188">
        <v>31510</v>
      </c>
      <c r="AC188">
        <v>4115611</v>
      </c>
      <c r="AD188" t="s">
        <v>940</v>
      </c>
      <c r="AE188">
        <v>4115611</v>
      </c>
      <c r="AF188">
        <v>1561</v>
      </c>
      <c r="AG188" s="1860">
        <v>43070</v>
      </c>
      <c r="AH188" s="1860">
        <v>523456</v>
      </c>
      <c r="AI188" t="s">
        <v>775</v>
      </c>
      <c r="AJ188" t="s">
        <v>775</v>
      </c>
      <c r="AK188" t="s">
        <v>954</v>
      </c>
      <c r="AN188" t="str">
        <f t="shared" si="4"/>
        <v>4111308NULL</v>
      </c>
      <c r="AO188" t="str">
        <f t="shared" si="5"/>
        <v>4111308NULL</v>
      </c>
      <c r="AP188" s="1758" t="s">
        <v>774</v>
      </c>
      <c r="AQ188" s="1759">
        <v>4111308</v>
      </c>
      <c r="AR188" s="1758" t="s">
        <v>775</v>
      </c>
      <c r="AS188" s="1758">
        <v>40350</v>
      </c>
      <c r="AT188" s="1760">
        <v>40350</v>
      </c>
      <c r="AU188" s="1758" t="s">
        <v>775</v>
      </c>
      <c r="AV188" s="1758">
        <v>0</v>
      </c>
      <c r="AW188" s="1758" t="s">
        <v>775</v>
      </c>
      <c r="AX188" s="1758" t="s">
        <v>775</v>
      </c>
      <c r="AY188" s="1758" t="s">
        <v>775</v>
      </c>
      <c r="AZ188" s="1758" t="s">
        <v>775</v>
      </c>
      <c r="BA188" s="1758" t="s">
        <v>775</v>
      </c>
      <c r="BB188" s="1758" t="s">
        <v>775</v>
      </c>
      <c r="BC188" t="s">
        <v>775</v>
      </c>
      <c r="BD188" t="s">
        <v>775</v>
      </c>
    </row>
    <row r="189" spans="28:56" ht="12" customHeight="1">
      <c r="AB189">
        <v>21800</v>
      </c>
      <c r="AC189">
        <v>4115621</v>
      </c>
      <c r="AD189" t="s">
        <v>940</v>
      </c>
      <c r="AE189">
        <v>4115621</v>
      </c>
      <c r="AF189">
        <v>1562</v>
      </c>
      <c r="AG189" s="1860">
        <v>43070</v>
      </c>
      <c r="AH189" s="1860">
        <v>523456</v>
      </c>
      <c r="AI189" t="s">
        <v>775</v>
      </c>
      <c r="AJ189" t="s">
        <v>775</v>
      </c>
      <c r="AK189" t="s">
        <v>955</v>
      </c>
      <c r="AN189" t="str">
        <f t="shared" si="4"/>
        <v>4111191NULL</v>
      </c>
      <c r="AO189" t="str">
        <f t="shared" si="5"/>
        <v>4111191NULL</v>
      </c>
      <c r="AP189" s="1758" t="s">
        <v>774</v>
      </c>
      <c r="AQ189" s="1759">
        <v>4111191</v>
      </c>
      <c r="AR189" s="1758" t="s">
        <v>775</v>
      </c>
      <c r="AS189" s="1758">
        <v>34800</v>
      </c>
      <c r="AT189" s="1760">
        <v>34800</v>
      </c>
      <c r="AU189" s="1758" t="s">
        <v>775</v>
      </c>
      <c r="AV189" s="1758">
        <v>0</v>
      </c>
      <c r="AW189" s="1758" t="s">
        <v>775</v>
      </c>
      <c r="AX189" s="1758" t="s">
        <v>775</v>
      </c>
      <c r="AY189" s="1758" t="s">
        <v>775</v>
      </c>
      <c r="AZ189" s="1758" t="s">
        <v>775</v>
      </c>
      <c r="BA189" s="1758" t="s">
        <v>775</v>
      </c>
      <c r="BB189" s="1758" t="s">
        <v>775</v>
      </c>
      <c r="BC189" t="s">
        <v>775</v>
      </c>
      <c r="BD189" t="s">
        <v>775</v>
      </c>
    </row>
    <row r="190" spans="28:56" ht="12" customHeight="1">
      <c r="AB190">
        <v>40930</v>
      </c>
      <c r="AC190">
        <v>4115631</v>
      </c>
      <c r="AD190" t="s">
        <v>940</v>
      </c>
      <c r="AE190">
        <v>4115631</v>
      </c>
      <c r="AF190">
        <v>1563</v>
      </c>
      <c r="AG190" s="1860">
        <v>43070</v>
      </c>
      <c r="AH190" s="1860">
        <v>523456</v>
      </c>
      <c r="AI190" t="s">
        <v>775</v>
      </c>
      <c r="AJ190" t="s">
        <v>775</v>
      </c>
      <c r="AK190" t="s">
        <v>956</v>
      </c>
      <c r="AN190" t="str">
        <f t="shared" si="4"/>
        <v>4111324NULL</v>
      </c>
      <c r="AO190" t="str">
        <f t="shared" si="5"/>
        <v>4111324NULL</v>
      </c>
      <c r="AP190" s="1758" t="s">
        <v>774</v>
      </c>
      <c r="AQ190" s="1759">
        <v>4111324</v>
      </c>
      <c r="AR190" s="1758" t="s">
        <v>775</v>
      </c>
      <c r="AS190" s="1758">
        <v>6400</v>
      </c>
      <c r="AT190" s="1760">
        <v>6400</v>
      </c>
      <c r="AU190" s="1758" t="s">
        <v>775</v>
      </c>
      <c r="AV190" s="1758">
        <v>0</v>
      </c>
      <c r="AW190" s="1758" t="s">
        <v>775</v>
      </c>
      <c r="AX190" s="1758" t="s">
        <v>775</v>
      </c>
      <c r="AY190" s="1758" t="s">
        <v>775</v>
      </c>
      <c r="AZ190" s="1758" t="s">
        <v>775</v>
      </c>
      <c r="BA190" s="1758" t="s">
        <v>775</v>
      </c>
      <c r="BB190" s="1758" t="s">
        <v>775</v>
      </c>
      <c r="BC190" t="s">
        <v>775</v>
      </c>
      <c r="BD190" t="s">
        <v>775</v>
      </c>
    </row>
    <row r="191" spans="28:56" ht="12" customHeight="1">
      <c r="AB191">
        <v>16400</v>
      </c>
      <c r="AC191">
        <v>4115641</v>
      </c>
      <c r="AD191" t="s">
        <v>940</v>
      </c>
      <c r="AE191">
        <v>4115641</v>
      </c>
      <c r="AF191">
        <v>1564</v>
      </c>
      <c r="AG191" s="1860">
        <v>43070</v>
      </c>
      <c r="AH191" s="1860">
        <v>523456</v>
      </c>
      <c r="AI191" t="s">
        <v>775</v>
      </c>
      <c r="AJ191" t="s">
        <v>775</v>
      </c>
      <c r="AK191" t="s">
        <v>957</v>
      </c>
      <c r="AN191" t="str">
        <f t="shared" si="4"/>
        <v>4111142NULL</v>
      </c>
      <c r="AO191" t="str">
        <f t="shared" si="5"/>
        <v>4111142NULL</v>
      </c>
      <c r="AP191" s="1758" t="s">
        <v>774</v>
      </c>
      <c r="AQ191" s="1759">
        <v>4111142</v>
      </c>
      <c r="AR191" s="1758" t="s">
        <v>775</v>
      </c>
      <c r="AS191" s="1758">
        <v>40290</v>
      </c>
      <c r="AT191" s="1760">
        <v>40290</v>
      </c>
      <c r="AU191" s="1758" t="s">
        <v>775</v>
      </c>
      <c r="AV191" s="1758">
        <v>0</v>
      </c>
      <c r="AW191" s="1758" t="s">
        <v>775</v>
      </c>
      <c r="AX191" s="1758" t="s">
        <v>775</v>
      </c>
      <c r="AY191" s="1758" t="s">
        <v>775</v>
      </c>
      <c r="AZ191" s="1758" t="s">
        <v>775</v>
      </c>
      <c r="BA191" s="1758" t="s">
        <v>775</v>
      </c>
      <c r="BB191" s="1758" t="s">
        <v>775</v>
      </c>
      <c r="BC191" t="s">
        <v>775</v>
      </c>
      <c r="BD191" t="s">
        <v>775</v>
      </c>
    </row>
    <row r="192" spans="28:56" ht="12" customHeight="1">
      <c r="AB192">
        <v>13900</v>
      </c>
      <c r="AC192">
        <v>4115651</v>
      </c>
      <c r="AD192" t="s">
        <v>940</v>
      </c>
      <c r="AE192">
        <v>4115651</v>
      </c>
      <c r="AF192">
        <v>1565</v>
      </c>
      <c r="AG192" s="1860">
        <v>43070</v>
      </c>
      <c r="AH192" s="1860">
        <v>523456</v>
      </c>
      <c r="AI192" t="s">
        <v>775</v>
      </c>
      <c r="AJ192" t="s">
        <v>775</v>
      </c>
      <c r="AK192" t="s">
        <v>958</v>
      </c>
      <c r="AN192" t="str">
        <f t="shared" si="4"/>
        <v>4111126NULL</v>
      </c>
      <c r="AO192" t="str">
        <f t="shared" si="5"/>
        <v>4111126NULL</v>
      </c>
      <c r="AP192" s="1758" t="s">
        <v>774</v>
      </c>
      <c r="AQ192" s="1759">
        <v>4111126</v>
      </c>
      <c r="AR192" s="1758" t="s">
        <v>775</v>
      </c>
      <c r="AS192" s="1758">
        <v>5800</v>
      </c>
      <c r="AT192" s="1760">
        <v>5800</v>
      </c>
      <c r="AU192" s="1758" t="s">
        <v>775</v>
      </c>
      <c r="AV192" s="1758">
        <v>0</v>
      </c>
      <c r="AW192" s="1758" t="s">
        <v>775</v>
      </c>
      <c r="AX192" s="1758" t="s">
        <v>775</v>
      </c>
      <c r="AY192" s="1758" t="s">
        <v>775</v>
      </c>
      <c r="AZ192" s="1758" t="s">
        <v>775</v>
      </c>
      <c r="BA192" s="1758" t="s">
        <v>775</v>
      </c>
      <c r="BB192" s="1758" t="s">
        <v>775</v>
      </c>
      <c r="BC192" t="s">
        <v>775</v>
      </c>
      <c r="BD192" t="s">
        <v>775</v>
      </c>
    </row>
    <row r="193" spans="28:56" ht="12" customHeight="1">
      <c r="AB193">
        <v>15200</v>
      </c>
      <c r="AC193">
        <v>4115661</v>
      </c>
      <c r="AD193" t="s">
        <v>940</v>
      </c>
      <c r="AE193">
        <v>4115661</v>
      </c>
      <c r="AF193">
        <v>1566</v>
      </c>
      <c r="AG193" s="1860">
        <v>43070</v>
      </c>
      <c r="AH193" s="1860">
        <v>523456</v>
      </c>
      <c r="AI193" t="s">
        <v>775</v>
      </c>
      <c r="AJ193" t="s">
        <v>775</v>
      </c>
      <c r="AK193" t="s">
        <v>959</v>
      </c>
      <c r="AN193" t="str">
        <f t="shared" si="4"/>
        <v>4111118NULL</v>
      </c>
      <c r="AO193" t="str">
        <f t="shared" si="5"/>
        <v>4111118NULL</v>
      </c>
      <c r="AP193" s="1758" t="s">
        <v>774</v>
      </c>
      <c r="AQ193" s="1759">
        <v>4111118</v>
      </c>
      <c r="AR193" s="1758" t="s">
        <v>775</v>
      </c>
      <c r="AS193" s="1758">
        <v>40270</v>
      </c>
      <c r="AT193" s="1760">
        <v>40270</v>
      </c>
      <c r="AU193" s="1758" t="s">
        <v>775</v>
      </c>
      <c r="AV193" s="1758">
        <v>0</v>
      </c>
      <c r="AW193" s="1758" t="s">
        <v>775</v>
      </c>
      <c r="AX193" s="1758" t="s">
        <v>775</v>
      </c>
      <c r="AY193" s="1758" t="s">
        <v>775</v>
      </c>
      <c r="AZ193" s="1758" t="s">
        <v>775</v>
      </c>
      <c r="BA193" s="1758" t="s">
        <v>775</v>
      </c>
      <c r="BB193" s="1758" t="s">
        <v>775</v>
      </c>
      <c r="BC193" t="s">
        <v>775</v>
      </c>
      <c r="BD193" t="s">
        <v>775</v>
      </c>
    </row>
    <row r="194" spans="28:56" ht="12" customHeight="1">
      <c r="AB194">
        <v>41118</v>
      </c>
      <c r="AC194">
        <v>4115841</v>
      </c>
      <c r="AD194" t="s">
        <v>940</v>
      </c>
      <c r="AE194">
        <v>4115841</v>
      </c>
      <c r="AF194">
        <v>1584</v>
      </c>
      <c r="AG194" s="1860">
        <v>43444</v>
      </c>
      <c r="AH194" s="1860">
        <v>523456</v>
      </c>
      <c r="AI194" t="s">
        <v>775</v>
      </c>
      <c r="AJ194" t="s">
        <v>775</v>
      </c>
      <c r="AK194" t="s">
        <v>1074</v>
      </c>
      <c r="AN194" t="str">
        <f t="shared" si="4"/>
        <v>4111092NULL</v>
      </c>
      <c r="AO194" t="str">
        <f t="shared" si="5"/>
        <v>4111092NULL</v>
      </c>
      <c r="AP194" s="1758" t="s">
        <v>774</v>
      </c>
      <c r="AQ194" s="1759">
        <v>4111092</v>
      </c>
      <c r="AR194" s="1758" t="s">
        <v>775</v>
      </c>
      <c r="AS194" s="1758">
        <v>3000</v>
      </c>
      <c r="AT194" s="1760">
        <v>3000</v>
      </c>
      <c r="AU194" s="1758" t="s">
        <v>775</v>
      </c>
      <c r="AV194" s="1758">
        <v>0</v>
      </c>
      <c r="AW194" s="1758" t="s">
        <v>775</v>
      </c>
      <c r="AX194" s="1758" t="s">
        <v>775</v>
      </c>
      <c r="AY194" s="1758" t="s">
        <v>775</v>
      </c>
      <c r="AZ194" s="1758" t="s">
        <v>775</v>
      </c>
      <c r="BA194" s="1758" t="s">
        <v>775</v>
      </c>
      <c r="BB194" s="1758" t="s">
        <v>775</v>
      </c>
      <c r="BC194" t="s">
        <v>775</v>
      </c>
      <c r="BD194" t="s">
        <v>775</v>
      </c>
    </row>
    <row r="195" spans="28:56" ht="12" customHeight="1">
      <c r="AB195">
        <v>25000</v>
      </c>
      <c r="AC195">
        <v>4115881</v>
      </c>
      <c r="AD195" t="s">
        <v>940</v>
      </c>
      <c r="AE195">
        <v>4115881</v>
      </c>
      <c r="AF195">
        <v>1588</v>
      </c>
      <c r="AG195" s="1860">
        <v>43511</v>
      </c>
      <c r="AH195" s="1860">
        <v>523456</v>
      </c>
      <c r="AI195" t="s">
        <v>775</v>
      </c>
      <c r="AJ195" t="s">
        <v>775</v>
      </c>
      <c r="AK195" t="s">
        <v>960</v>
      </c>
      <c r="AN195" t="str">
        <f t="shared" si="4"/>
        <v>4111050NULL</v>
      </c>
      <c r="AO195" t="str">
        <f t="shared" si="5"/>
        <v>4111050NULL</v>
      </c>
      <c r="AP195" s="1758" t="s">
        <v>774</v>
      </c>
      <c r="AQ195" s="1759">
        <v>4111050</v>
      </c>
      <c r="AR195" s="1758" t="s">
        <v>775</v>
      </c>
      <c r="AS195" s="1758">
        <v>40170</v>
      </c>
      <c r="AT195" s="1760">
        <v>40170</v>
      </c>
      <c r="AU195" s="1758" t="s">
        <v>775</v>
      </c>
      <c r="AV195" s="1758">
        <v>0</v>
      </c>
      <c r="AW195" s="1758" t="s">
        <v>775</v>
      </c>
      <c r="AX195" s="1758" t="s">
        <v>775</v>
      </c>
      <c r="AY195" s="1758" t="s">
        <v>775</v>
      </c>
      <c r="AZ195" s="1758" t="s">
        <v>775</v>
      </c>
      <c r="BA195" s="1758" t="s">
        <v>775</v>
      </c>
      <c r="BB195" s="1758" t="s">
        <v>775</v>
      </c>
      <c r="BC195" t="s">
        <v>775</v>
      </c>
      <c r="BD195" t="s">
        <v>775</v>
      </c>
    </row>
    <row r="196" spans="28:56" ht="12" customHeight="1">
      <c r="AB196">
        <v>40360</v>
      </c>
      <c r="AC196">
        <v>4115891</v>
      </c>
      <c r="AD196" t="s">
        <v>940</v>
      </c>
      <c r="AE196">
        <v>4115891</v>
      </c>
      <c r="AF196">
        <v>1589</v>
      </c>
      <c r="AG196" s="1860">
        <v>43586</v>
      </c>
      <c r="AH196" s="1860">
        <v>523456</v>
      </c>
      <c r="AI196" t="s">
        <v>775</v>
      </c>
      <c r="AJ196" t="s">
        <v>775</v>
      </c>
      <c r="AK196" t="s">
        <v>1067</v>
      </c>
      <c r="AN196" t="str">
        <f t="shared" si="4"/>
        <v>4112827NULL</v>
      </c>
      <c r="AO196" t="str">
        <f t="shared" si="5"/>
        <v>4112827102915300</v>
      </c>
      <c r="AP196" s="1758" t="s">
        <v>774</v>
      </c>
      <c r="AQ196" s="1759">
        <v>4112827</v>
      </c>
      <c r="AR196" s="1758" t="s">
        <v>775</v>
      </c>
      <c r="AS196" s="1758">
        <v>5000</v>
      </c>
      <c r="AT196" s="1760">
        <v>5000</v>
      </c>
      <c r="AU196" s="1758" t="s">
        <v>775</v>
      </c>
      <c r="AV196" s="1758">
        <v>0</v>
      </c>
      <c r="AW196" s="1758">
        <v>102915300</v>
      </c>
      <c r="AX196" s="1758" t="s">
        <v>775</v>
      </c>
      <c r="AY196" s="1758" t="s">
        <v>775</v>
      </c>
      <c r="AZ196" s="1758" t="s">
        <v>775</v>
      </c>
      <c r="BA196" s="1758" t="s">
        <v>775</v>
      </c>
      <c r="BB196" s="1758" t="s">
        <v>775</v>
      </c>
      <c r="BC196" t="s">
        <v>775</v>
      </c>
      <c r="BD196" t="s">
        <v>775</v>
      </c>
    </row>
    <row r="197" spans="28:56" ht="12" customHeight="1">
      <c r="AB197">
        <v>4100</v>
      </c>
      <c r="AC197">
        <v>4127403</v>
      </c>
      <c r="AD197" t="s">
        <v>940</v>
      </c>
      <c r="AE197">
        <v>4127403</v>
      </c>
      <c r="AF197">
        <v>274</v>
      </c>
      <c r="AG197" s="1860">
        <v>29221</v>
      </c>
      <c r="AH197" s="1860">
        <v>523456</v>
      </c>
      <c r="AI197" t="s">
        <v>775</v>
      </c>
      <c r="AJ197" t="s">
        <v>775</v>
      </c>
      <c r="AK197" t="s">
        <v>961</v>
      </c>
      <c r="AN197" t="str">
        <f aca="true" t="shared" si="6" ref="AN197:AN260">AQ197&amp;AU197</f>
        <v>4112959NULL</v>
      </c>
      <c r="AO197" t="str">
        <f aca="true" t="shared" si="7" ref="AO197:AO260">AQ197&amp;AW197</f>
        <v>4112959NULL</v>
      </c>
      <c r="AP197" s="1758" t="s">
        <v>774</v>
      </c>
      <c r="AQ197" s="1759">
        <v>4112959</v>
      </c>
      <c r="AR197" s="1758" t="s">
        <v>775</v>
      </c>
      <c r="AS197" s="1758">
        <v>21200</v>
      </c>
      <c r="AT197" s="1760">
        <v>21200</v>
      </c>
      <c r="AU197" s="1758" t="s">
        <v>775</v>
      </c>
      <c r="AV197" s="1758">
        <v>0</v>
      </c>
      <c r="AW197" s="1758" t="s">
        <v>775</v>
      </c>
      <c r="AX197" s="1758" t="s">
        <v>775</v>
      </c>
      <c r="AY197" s="1758" t="s">
        <v>775</v>
      </c>
      <c r="AZ197" s="1758" t="s">
        <v>775</v>
      </c>
      <c r="BA197" s="1758" t="s">
        <v>775</v>
      </c>
      <c r="BB197" s="1758" t="s">
        <v>775</v>
      </c>
      <c r="BC197" t="s">
        <v>775</v>
      </c>
      <c r="BD197" t="s">
        <v>775</v>
      </c>
    </row>
    <row r="198" spans="28:56" ht="12" customHeight="1">
      <c r="AB198">
        <v>5700</v>
      </c>
      <c r="AC198">
        <v>4135109</v>
      </c>
      <c r="AD198" t="s">
        <v>940</v>
      </c>
      <c r="AE198">
        <v>4135109</v>
      </c>
      <c r="AF198">
        <v>351</v>
      </c>
      <c r="AG198" s="1860">
        <v>27851</v>
      </c>
      <c r="AH198" s="1860">
        <v>523456</v>
      </c>
      <c r="AI198" t="s">
        <v>775</v>
      </c>
      <c r="AJ198" t="s">
        <v>775</v>
      </c>
      <c r="AK198" t="s">
        <v>962</v>
      </c>
      <c r="AN198" t="str">
        <f t="shared" si="6"/>
        <v>4112744NULL</v>
      </c>
      <c r="AO198" t="str">
        <f t="shared" si="7"/>
        <v>4112744NULL</v>
      </c>
      <c r="AP198" s="1758" t="s">
        <v>774</v>
      </c>
      <c r="AQ198" s="1759">
        <v>4112744</v>
      </c>
      <c r="AR198" s="1758" t="s">
        <v>987</v>
      </c>
      <c r="AS198" s="1758">
        <v>24600</v>
      </c>
      <c r="AT198" s="1759">
        <v>24600</v>
      </c>
      <c r="AU198" s="1758" t="s">
        <v>775</v>
      </c>
      <c r="AV198" s="1758">
        <v>0</v>
      </c>
      <c r="AW198" s="1758" t="s">
        <v>775</v>
      </c>
      <c r="AX198" s="1758" t="s">
        <v>775</v>
      </c>
      <c r="AY198" s="1758" t="s">
        <v>775</v>
      </c>
      <c r="AZ198" s="1758" t="s">
        <v>775</v>
      </c>
      <c r="BA198" s="1758" t="s">
        <v>775</v>
      </c>
      <c r="BB198" s="1758" t="s">
        <v>775</v>
      </c>
      <c r="BC198" t="s">
        <v>775</v>
      </c>
      <c r="BD198" t="s">
        <v>775</v>
      </c>
    </row>
    <row r="199" spans="28:56" ht="12" customHeight="1">
      <c r="AB199">
        <v>6000</v>
      </c>
      <c r="AC199">
        <v>4135901</v>
      </c>
      <c r="AD199" t="s">
        <v>940</v>
      </c>
      <c r="AE199">
        <v>4135901</v>
      </c>
      <c r="AF199">
        <v>359</v>
      </c>
      <c r="AG199" s="1860">
        <v>27851</v>
      </c>
      <c r="AH199" s="1860">
        <v>523456</v>
      </c>
      <c r="AI199" t="s">
        <v>775</v>
      </c>
      <c r="AJ199" t="s">
        <v>775</v>
      </c>
      <c r="AK199" t="s">
        <v>963</v>
      </c>
      <c r="AN199" t="str">
        <f t="shared" si="6"/>
        <v>4112272NULL</v>
      </c>
      <c r="AO199" t="str">
        <f t="shared" si="7"/>
        <v>4112272NULL</v>
      </c>
      <c r="AP199" s="1758" t="s">
        <v>774</v>
      </c>
      <c r="AQ199" s="1759">
        <v>4112272</v>
      </c>
      <c r="AR199" s="1758" t="s">
        <v>775</v>
      </c>
      <c r="AS199" s="1758">
        <v>12000</v>
      </c>
      <c r="AT199" s="1760">
        <v>12000</v>
      </c>
      <c r="AU199" s="1758" t="s">
        <v>775</v>
      </c>
      <c r="AV199" s="1758">
        <v>0</v>
      </c>
      <c r="AW199" s="1758" t="s">
        <v>775</v>
      </c>
      <c r="AX199" s="1758" t="s">
        <v>775</v>
      </c>
      <c r="AY199" s="1758" t="s">
        <v>775</v>
      </c>
      <c r="AZ199" s="1758" t="s">
        <v>775</v>
      </c>
      <c r="BA199" s="1758" t="s">
        <v>775</v>
      </c>
      <c r="BB199" s="1758" t="s">
        <v>775</v>
      </c>
      <c r="BC199" t="s">
        <v>775</v>
      </c>
      <c r="BD199" t="s">
        <v>775</v>
      </c>
    </row>
    <row r="200" spans="28:56" ht="12" customHeight="1">
      <c r="AB200">
        <v>7700</v>
      </c>
      <c r="AC200">
        <v>4141701</v>
      </c>
      <c r="AD200" t="s">
        <v>940</v>
      </c>
      <c r="AE200">
        <v>4141701</v>
      </c>
      <c r="AF200">
        <v>417</v>
      </c>
      <c r="AG200" s="1860">
        <v>28581</v>
      </c>
      <c r="AH200" s="1860">
        <v>523456</v>
      </c>
      <c r="AI200" t="s">
        <v>775</v>
      </c>
      <c r="AJ200" t="s">
        <v>775</v>
      </c>
      <c r="AK200" t="s">
        <v>964</v>
      </c>
      <c r="AN200" t="str">
        <f t="shared" si="6"/>
        <v>4112736NULL</v>
      </c>
      <c r="AO200" t="str">
        <f t="shared" si="7"/>
        <v>4112736NULL</v>
      </c>
      <c r="AP200" s="1758" t="s">
        <v>774</v>
      </c>
      <c r="AQ200" s="1759">
        <v>4112736</v>
      </c>
      <c r="AR200" s="1758" t="s">
        <v>775</v>
      </c>
      <c r="AS200" s="1758">
        <v>22300</v>
      </c>
      <c r="AT200" s="1760">
        <v>22300</v>
      </c>
      <c r="AU200" s="1758" t="s">
        <v>775</v>
      </c>
      <c r="AV200" s="1758">
        <v>0</v>
      </c>
      <c r="AW200" s="1758" t="s">
        <v>775</v>
      </c>
      <c r="AX200" s="1758" t="s">
        <v>775</v>
      </c>
      <c r="AY200" s="1758" t="s">
        <v>775</v>
      </c>
      <c r="AZ200" s="1758" t="s">
        <v>775</v>
      </c>
      <c r="BA200" s="1758" t="s">
        <v>775</v>
      </c>
      <c r="BB200" s="1758" t="s">
        <v>775</v>
      </c>
      <c r="BC200" t="s">
        <v>775</v>
      </c>
      <c r="BD200" t="s">
        <v>775</v>
      </c>
    </row>
    <row r="201" spans="28:56" ht="12" customHeight="1">
      <c r="AB201">
        <v>9400</v>
      </c>
      <c r="AC201">
        <v>4146106</v>
      </c>
      <c r="AD201" t="s">
        <v>940</v>
      </c>
      <c r="AE201">
        <v>4146106</v>
      </c>
      <c r="AF201">
        <v>461</v>
      </c>
      <c r="AG201" s="1860">
        <v>28581</v>
      </c>
      <c r="AH201" s="1860">
        <v>523456</v>
      </c>
      <c r="AI201" t="s">
        <v>775</v>
      </c>
      <c r="AJ201" t="s">
        <v>775</v>
      </c>
      <c r="AK201" t="s">
        <v>965</v>
      </c>
      <c r="AN201" t="str">
        <f t="shared" si="6"/>
        <v>4113007NULL</v>
      </c>
      <c r="AO201" t="str">
        <f t="shared" si="7"/>
        <v>4113007NULL</v>
      </c>
      <c r="AP201" s="1758" t="s">
        <v>774</v>
      </c>
      <c r="AQ201" s="1759">
        <v>4113007</v>
      </c>
      <c r="AR201" s="1758" t="s">
        <v>775</v>
      </c>
      <c r="AS201" s="1758">
        <v>10500</v>
      </c>
      <c r="AT201" s="1760">
        <v>10500</v>
      </c>
      <c r="AU201" s="1758" t="s">
        <v>775</v>
      </c>
      <c r="AV201" s="1758">
        <v>0</v>
      </c>
      <c r="AW201" s="1758" t="s">
        <v>775</v>
      </c>
      <c r="AX201" s="1758" t="s">
        <v>775</v>
      </c>
      <c r="AY201" s="1758" t="s">
        <v>775</v>
      </c>
      <c r="AZ201" s="1758" t="s">
        <v>775</v>
      </c>
      <c r="BA201" s="1758" t="s">
        <v>775</v>
      </c>
      <c r="BB201" s="1758" t="s">
        <v>775</v>
      </c>
      <c r="BC201" t="s">
        <v>775</v>
      </c>
      <c r="BD201" t="s">
        <v>775</v>
      </c>
    </row>
    <row r="202" spans="28:56" ht="12" customHeight="1">
      <c r="AB202">
        <v>15800</v>
      </c>
      <c r="AC202">
        <v>4154407</v>
      </c>
      <c r="AD202" t="s">
        <v>940</v>
      </c>
      <c r="AE202">
        <v>4154407</v>
      </c>
      <c r="AF202">
        <v>544</v>
      </c>
      <c r="AG202" s="1860">
        <v>28856</v>
      </c>
      <c r="AH202" s="1860">
        <v>523456</v>
      </c>
      <c r="AI202" t="s">
        <v>775</v>
      </c>
      <c r="AJ202" t="s">
        <v>775</v>
      </c>
      <c r="AK202" t="s">
        <v>966</v>
      </c>
      <c r="AN202" t="str">
        <f t="shared" si="6"/>
        <v>4112223NULL</v>
      </c>
      <c r="AO202" t="str">
        <f t="shared" si="7"/>
        <v>4112223NULL</v>
      </c>
      <c r="AP202" s="1758" t="s">
        <v>774</v>
      </c>
      <c r="AQ202" s="1759">
        <v>4112223</v>
      </c>
      <c r="AR202" s="1758" t="s">
        <v>775</v>
      </c>
      <c r="AS202" s="1758">
        <v>40580</v>
      </c>
      <c r="AT202" s="1760">
        <v>40580</v>
      </c>
      <c r="AU202" s="1758" t="s">
        <v>775</v>
      </c>
      <c r="AV202" s="1758">
        <v>0</v>
      </c>
      <c r="AW202" s="1758" t="s">
        <v>775</v>
      </c>
      <c r="AX202" s="1758" t="s">
        <v>775</v>
      </c>
      <c r="AY202" s="1758" t="s">
        <v>775</v>
      </c>
      <c r="AZ202" s="1758" t="s">
        <v>775</v>
      </c>
      <c r="BA202" s="1758" t="s">
        <v>775</v>
      </c>
      <c r="BB202" s="1758" t="s">
        <v>775</v>
      </c>
      <c r="BC202" t="s">
        <v>775</v>
      </c>
      <c r="BD202" t="s">
        <v>775</v>
      </c>
    </row>
    <row r="203" spans="28:56" ht="12" customHeight="1">
      <c r="AB203">
        <v>15900</v>
      </c>
      <c r="AC203">
        <v>4154506</v>
      </c>
      <c r="AD203" t="s">
        <v>940</v>
      </c>
      <c r="AE203">
        <v>4154506</v>
      </c>
      <c r="AF203">
        <v>545</v>
      </c>
      <c r="AG203" s="1860">
        <v>28581</v>
      </c>
      <c r="AH203" s="1860">
        <v>523456</v>
      </c>
      <c r="AI203" t="s">
        <v>775</v>
      </c>
      <c r="AJ203" t="s">
        <v>775</v>
      </c>
      <c r="AK203" t="s">
        <v>967</v>
      </c>
      <c r="AN203" t="str">
        <f t="shared" si="6"/>
        <v>4112173NULL</v>
      </c>
      <c r="AO203" t="str">
        <f t="shared" si="7"/>
        <v>4112173NULL</v>
      </c>
      <c r="AP203" s="1758" t="s">
        <v>774</v>
      </c>
      <c r="AQ203" s="1759">
        <v>4112173</v>
      </c>
      <c r="AR203" s="1758" t="s">
        <v>775</v>
      </c>
      <c r="AS203" s="1758">
        <v>18000</v>
      </c>
      <c r="AT203" s="1760">
        <v>18000</v>
      </c>
      <c r="AU203" s="1758" t="s">
        <v>775</v>
      </c>
      <c r="AV203" s="1758">
        <v>0</v>
      </c>
      <c r="AW203" s="1758" t="s">
        <v>775</v>
      </c>
      <c r="AX203" s="1758" t="s">
        <v>775</v>
      </c>
      <c r="AY203" s="1758" t="s">
        <v>775</v>
      </c>
      <c r="AZ203" s="1758" t="s">
        <v>775</v>
      </c>
      <c r="BA203" s="1758" t="s">
        <v>775</v>
      </c>
      <c r="BB203" s="1758" t="s">
        <v>775</v>
      </c>
      <c r="BC203" t="s">
        <v>775</v>
      </c>
      <c r="BD203" t="s">
        <v>775</v>
      </c>
    </row>
    <row r="204" spans="28:56" ht="12" customHeight="1">
      <c r="AB204">
        <v>19700</v>
      </c>
      <c r="AC204">
        <v>4160107</v>
      </c>
      <c r="AD204" t="s">
        <v>940</v>
      </c>
      <c r="AE204">
        <v>4160107</v>
      </c>
      <c r="AF204">
        <v>601</v>
      </c>
      <c r="AG204" s="1860">
        <v>28581</v>
      </c>
      <c r="AH204" s="1860">
        <v>523456</v>
      </c>
      <c r="AI204" t="s">
        <v>775</v>
      </c>
      <c r="AJ204" t="s">
        <v>775</v>
      </c>
      <c r="AK204" t="s">
        <v>968</v>
      </c>
      <c r="AN204" t="str">
        <f t="shared" si="6"/>
        <v>4111290NULL</v>
      </c>
      <c r="AO204" t="str">
        <f t="shared" si="7"/>
        <v>4111290NULL</v>
      </c>
      <c r="AP204" s="1758" t="s">
        <v>774</v>
      </c>
      <c r="AQ204" s="1759">
        <v>4111290</v>
      </c>
      <c r="AR204" s="1758" t="s">
        <v>775</v>
      </c>
      <c r="AS204" s="1758">
        <v>17300</v>
      </c>
      <c r="AT204" s="1760">
        <v>17300</v>
      </c>
      <c r="AU204" s="1758" t="s">
        <v>775</v>
      </c>
      <c r="AV204" s="1758">
        <v>0</v>
      </c>
      <c r="AW204" s="1758" t="s">
        <v>775</v>
      </c>
      <c r="AX204" s="1758" t="s">
        <v>775</v>
      </c>
      <c r="AY204" s="1758" t="s">
        <v>775</v>
      </c>
      <c r="AZ204" s="1758" t="s">
        <v>775</v>
      </c>
      <c r="BA204" s="1758" t="s">
        <v>775</v>
      </c>
      <c r="BB204" s="1758" t="s">
        <v>775</v>
      </c>
      <c r="BC204" t="s">
        <v>775</v>
      </c>
      <c r="BD204" t="s">
        <v>775</v>
      </c>
    </row>
    <row r="205" spans="28:56" ht="12" customHeight="1">
      <c r="AB205">
        <v>18500</v>
      </c>
      <c r="AC205">
        <v>4172904</v>
      </c>
      <c r="AD205" t="s">
        <v>940</v>
      </c>
      <c r="AE205">
        <v>4172904</v>
      </c>
      <c r="AF205">
        <v>729</v>
      </c>
      <c r="AG205" s="1860">
        <v>29007</v>
      </c>
      <c r="AH205" s="1860">
        <v>523456</v>
      </c>
      <c r="AI205" t="s">
        <v>775</v>
      </c>
      <c r="AJ205" t="s">
        <v>775</v>
      </c>
      <c r="AK205" t="s">
        <v>969</v>
      </c>
      <c r="AN205" t="str">
        <f t="shared" si="6"/>
        <v>4112140NULL</v>
      </c>
      <c r="AO205" t="str">
        <f t="shared" si="7"/>
        <v>4112140NULL</v>
      </c>
      <c r="AP205" s="1758" t="s">
        <v>774</v>
      </c>
      <c r="AQ205" s="1759">
        <v>4112140</v>
      </c>
      <c r="AR205" s="1758" t="s">
        <v>775</v>
      </c>
      <c r="AS205" s="1758">
        <v>40570</v>
      </c>
      <c r="AT205" s="1760">
        <v>40570</v>
      </c>
      <c r="AU205" s="1758" t="s">
        <v>775</v>
      </c>
      <c r="AV205" s="1758">
        <v>0</v>
      </c>
      <c r="AW205" s="1758" t="s">
        <v>775</v>
      </c>
      <c r="AX205" s="1758" t="s">
        <v>775</v>
      </c>
      <c r="AY205" s="1758" t="s">
        <v>775</v>
      </c>
      <c r="AZ205" s="1758" t="s">
        <v>775</v>
      </c>
      <c r="BA205" s="1758" t="s">
        <v>775</v>
      </c>
      <c r="BB205" s="1758" t="s">
        <v>775</v>
      </c>
      <c r="BC205" t="s">
        <v>775</v>
      </c>
      <c r="BD205" t="s">
        <v>775</v>
      </c>
    </row>
    <row r="206" spans="28:56" ht="12" customHeight="1">
      <c r="AB206">
        <v>29900</v>
      </c>
      <c r="AC206">
        <v>4173209</v>
      </c>
      <c r="AD206" t="s">
        <v>940</v>
      </c>
      <c r="AE206">
        <v>4173209</v>
      </c>
      <c r="AF206">
        <v>732</v>
      </c>
      <c r="AG206" s="1860">
        <v>29129</v>
      </c>
      <c r="AH206" s="1860">
        <v>523456</v>
      </c>
      <c r="AI206" t="s">
        <v>775</v>
      </c>
      <c r="AJ206" t="s">
        <v>775</v>
      </c>
      <c r="AK206" t="s">
        <v>970</v>
      </c>
      <c r="AN206" t="str">
        <f t="shared" si="6"/>
        <v>4111019NULL</v>
      </c>
      <c r="AO206" t="str">
        <f t="shared" si="7"/>
        <v>4111019NULL</v>
      </c>
      <c r="AP206" s="1758" t="s">
        <v>774</v>
      </c>
      <c r="AQ206" s="1759">
        <v>4111019</v>
      </c>
      <c r="AR206" s="1758" t="s">
        <v>987</v>
      </c>
      <c r="AS206" s="1758">
        <v>35010</v>
      </c>
      <c r="AT206" s="1760">
        <v>35010</v>
      </c>
      <c r="AU206" s="1758" t="s">
        <v>775</v>
      </c>
      <c r="AV206" s="1758">
        <v>0</v>
      </c>
      <c r="AW206" s="1758" t="s">
        <v>775</v>
      </c>
      <c r="AX206" s="1758" t="s">
        <v>775</v>
      </c>
      <c r="AY206" s="1758" t="s">
        <v>775</v>
      </c>
      <c r="AZ206" s="1758" t="s">
        <v>775</v>
      </c>
      <c r="BA206" s="1758" t="s">
        <v>775</v>
      </c>
      <c r="BB206" s="1758" t="s">
        <v>775</v>
      </c>
      <c r="BC206" t="s">
        <v>775</v>
      </c>
      <c r="BD206" t="s">
        <v>775</v>
      </c>
    </row>
    <row r="207" spans="28:56" ht="12" customHeight="1">
      <c r="AB207">
        <v>31300</v>
      </c>
      <c r="AC207">
        <v>4186706</v>
      </c>
      <c r="AD207" t="s">
        <v>940</v>
      </c>
      <c r="AE207">
        <v>4186706</v>
      </c>
      <c r="AF207">
        <v>867</v>
      </c>
      <c r="AG207" s="1860">
        <v>31079</v>
      </c>
      <c r="AH207" s="1860">
        <v>523456</v>
      </c>
      <c r="AI207" t="s">
        <v>775</v>
      </c>
      <c r="AJ207" t="s">
        <v>775</v>
      </c>
      <c r="AK207" t="s">
        <v>971</v>
      </c>
      <c r="AN207" t="str">
        <f t="shared" si="6"/>
        <v>4112363NULL</v>
      </c>
      <c r="AO207" t="str">
        <f t="shared" si="7"/>
        <v>4112363NULL</v>
      </c>
      <c r="AP207" s="1758" t="s">
        <v>774</v>
      </c>
      <c r="AQ207" s="1759">
        <v>4112363</v>
      </c>
      <c r="AR207" s="1758" t="s">
        <v>775</v>
      </c>
      <c r="AS207" s="1758">
        <v>20800</v>
      </c>
      <c r="AT207" s="1760">
        <v>20800</v>
      </c>
      <c r="AU207" s="1758" t="s">
        <v>775</v>
      </c>
      <c r="AV207" s="1758">
        <v>0</v>
      </c>
      <c r="AW207" s="1758" t="s">
        <v>775</v>
      </c>
      <c r="AX207" s="1758" t="s">
        <v>775</v>
      </c>
      <c r="AY207" s="1758" t="s">
        <v>775</v>
      </c>
      <c r="AZ207" s="1758" t="s">
        <v>775</v>
      </c>
      <c r="BA207" s="1758" t="s">
        <v>775</v>
      </c>
      <c r="BB207" s="1758" t="s">
        <v>775</v>
      </c>
      <c r="BC207" t="s">
        <v>775</v>
      </c>
      <c r="BD207" t="s">
        <v>775</v>
      </c>
    </row>
    <row r="208" spans="40:56" ht="12" customHeight="1">
      <c r="AN208" t="str">
        <f t="shared" si="6"/>
        <v>41111671649251653</v>
      </c>
      <c r="AO208" t="str">
        <f t="shared" si="7"/>
        <v>4111167NULL</v>
      </c>
      <c r="AP208" s="1758" t="s">
        <v>774</v>
      </c>
      <c r="AQ208" s="1759">
        <v>4111167</v>
      </c>
      <c r="AR208" s="1758" t="s">
        <v>775</v>
      </c>
      <c r="AS208" s="1758">
        <v>25400</v>
      </c>
      <c r="AT208" s="1760">
        <v>25400</v>
      </c>
      <c r="AU208" s="1758">
        <v>1649251653</v>
      </c>
      <c r="AV208" s="1758">
        <v>1649251653</v>
      </c>
      <c r="AW208" s="1758" t="s">
        <v>775</v>
      </c>
      <c r="AX208" s="1758" t="s">
        <v>775</v>
      </c>
      <c r="AY208" s="1758" t="s">
        <v>775</v>
      </c>
      <c r="AZ208" s="1758" t="s">
        <v>775</v>
      </c>
      <c r="BA208" s="1758" t="s">
        <v>775</v>
      </c>
      <c r="BB208" s="1758" t="s">
        <v>775</v>
      </c>
      <c r="BC208" t="s">
        <v>775</v>
      </c>
      <c r="BD208" t="s">
        <v>775</v>
      </c>
    </row>
    <row r="209" spans="40:56" ht="12" customHeight="1">
      <c r="AN209" t="str">
        <f t="shared" si="6"/>
        <v>4111407NULL</v>
      </c>
      <c r="AO209" t="str">
        <f t="shared" si="7"/>
        <v>4111407NULL</v>
      </c>
      <c r="AP209" s="1758" t="s">
        <v>774</v>
      </c>
      <c r="AQ209" s="1759">
        <v>4111407</v>
      </c>
      <c r="AR209" s="1758" t="s">
        <v>775</v>
      </c>
      <c r="AS209" s="1758">
        <v>5800</v>
      </c>
      <c r="AT209" s="1760">
        <v>5800</v>
      </c>
      <c r="AU209" s="1758" t="s">
        <v>775</v>
      </c>
      <c r="AV209" s="1758">
        <v>0</v>
      </c>
      <c r="AW209" s="1758" t="s">
        <v>775</v>
      </c>
      <c r="AX209" s="1758" t="s">
        <v>775</v>
      </c>
      <c r="AY209" s="1758" t="s">
        <v>775</v>
      </c>
      <c r="AZ209" s="1758" t="s">
        <v>775</v>
      </c>
      <c r="BA209" s="1758" t="s">
        <v>775</v>
      </c>
      <c r="BB209" s="1758" t="s">
        <v>775</v>
      </c>
      <c r="BC209" t="s">
        <v>775</v>
      </c>
      <c r="BD209" t="s">
        <v>775</v>
      </c>
    </row>
    <row r="210" spans="40:56" ht="12" customHeight="1">
      <c r="AN210" t="str">
        <f t="shared" si="6"/>
        <v>4111365NULL</v>
      </c>
      <c r="AO210" t="str">
        <f t="shared" si="7"/>
        <v>4111365NULL</v>
      </c>
      <c r="AP210" s="1758" t="s">
        <v>774</v>
      </c>
      <c r="AQ210" s="1759">
        <v>4111365</v>
      </c>
      <c r="AR210" s="1758" t="s">
        <v>775</v>
      </c>
      <c r="AS210" s="1758">
        <v>9600</v>
      </c>
      <c r="AT210" s="1760">
        <v>9600</v>
      </c>
      <c r="AU210" s="1758" t="s">
        <v>775</v>
      </c>
      <c r="AV210" s="1758">
        <v>0</v>
      </c>
      <c r="AW210" s="1758" t="s">
        <v>775</v>
      </c>
      <c r="AX210" s="1758" t="s">
        <v>775</v>
      </c>
      <c r="AY210" s="1758" t="s">
        <v>775</v>
      </c>
      <c r="AZ210" s="1758" t="s">
        <v>775</v>
      </c>
      <c r="BA210" s="1758" t="s">
        <v>775</v>
      </c>
      <c r="BB210" s="1758" t="s">
        <v>775</v>
      </c>
      <c r="BC210" t="s">
        <v>775</v>
      </c>
      <c r="BD210" t="s">
        <v>775</v>
      </c>
    </row>
    <row r="211" spans="40:54" ht="12" customHeight="1">
      <c r="AN211" t="str">
        <f t="shared" si="6"/>
        <v>41129001003879800</v>
      </c>
      <c r="AO211" t="str">
        <f t="shared" si="7"/>
        <v>4112900100014600</v>
      </c>
      <c r="AP211" s="1758" t="s">
        <v>1014</v>
      </c>
      <c r="AQ211" s="1759">
        <v>4112900</v>
      </c>
      <c r="AR211" s="1758"/>
      <c r="AS211" s="1758">
        <v>40740</v>
      </c>
      <c r="AT211" s="1760">
        <v>40740</v>
      </c>
      <c r="AU211" s="1758">
        <v>1003879800</v>
      </c>
      <c r="AV211" s="1758">
        <v>1003879800</v>
      </c>
      <c r="AW211" s="1758">
        <v>100014600</v>
      </c>
      <c r="AX211" s="1758"/>
      <c r="AY211" s="1758"/>
      <c r="AZ211" s="1758"/>
      <c r="BA211" s="1758"/>
      <c r="BB211" s="1758" t="s">
        <v>775</v>
      </c>
    </row>
    <row r="212" spans="40:54" ht="12" customHeight="1">
      <c r="AN212" t="str">
        <f t="shared" si="6"/>
        <v>41130491194763565</v>
      </c>
      <c r="AO212" t="str">
        <f t="shared" si="7"/>
        <v>4113049100455000</v>
      </c>
      <c r="AP212" s="1758" t="s">
        <v>788</v>
      </c>
      <c r="AQ212" s="1759">
        <v>4113049</v>
      </c>
      <c r="AR212" s="1758"/>
      <c r="AS212" s="1758">
        <v>36600</v>
      </c>
      <c r="AT212" s="1760">
        <v>36600</v>
      </c>
      <c r="AU212" s="1758">
        <v>1194763565</v>
      </c>
      <c r="AV212" s="1758">
        <v>1194763565</v>
      </c>
      <c r="AW212" s="1758">
        <v>100455000</v>
      </c>
      <c r="AX212" s="1758"/>
      <c r="AY212" s="1758"/>
      <c r="AZ212" s="1758"/>
      <c r="BA212" s="1758"/>
      <c r="BB212" s="1758" t="s">
        <v>775</v>
      </c>
    </row>
    <row r="213" spans="40:54" ht="12" customHeight="1">
      <c r="AN213" t="str">
        <f t="shared" si="6"/>
        <v>41130801801896436</v>
      </c>
      <c r="AO213" t="str">
        <f t="shared" si="7"/>
        <v>4113080101934200</v>
      </c>
      <c r="AP213" s="1758" t="s">
        <v>873</v>
      </c>
      <c r="AQ213" s="1759">
        <v>4113080</v>
      </c>
      <c r="AR213" s="1758"/>
      <c r="AS213" s="1758">
        <v>35030</v>
      </c>
      <c r="AT213" s="1759">
        <v>35030</v>
      </c>
      <c r="AU213" s="1758">
        <v>1801896436</v>
      </c>
      <c r="AV213" s="1758">
        <v>1801896436</v>
      </c>
      <c r="AW213" s="1758">
        <v>101934200</v>
      </c>
      <c r="AX213" s="1758"/>
      <c r="AY213" s="1758"/>
      <c r="AZ213" s="1758">
        <v>45</v>
      </c>
      <c r="BA213" s="1758"/>
      <c r="BB213" s="1758" t="s">
        <v>775</v>
      </c>
    </row>
    <row r="214" spans="40:54" ht="12" customHeight="1">
      <c r="AN214" t="str">
        <f t="shared" si="6"/>
        <v>41132211578667796</v>
      </c>
      <c r="AO214" t="str">
        <f t="shared" si="7"/>
        <v>4113221101382500</v>
      </c>
      <c r="AP214" s="1758" t="s">
        <v>873</v>
      </c>
      <c r="AQ214" s="1759">
        <v>4113221</v>
      </c>
      <c r="AR214" s="1758"/>
      <c r="AS214" s="1758">
        <v>40780</v>
      </c>
      <c r="AT214" s="1759">
        <v>40780</v>
      </c>
      <c r="AU214" s="1758">
        <v>1578667796</v>
      </c>
      <c r="AV214" s="1758">
        <v>1578667796</v>
      </c>
      <c r="AW214" s="1758">
        <v>101382500</v>
      </c>
      <c r="AX214" s="1758"/>
      <c r="AY214" s="1758"/>
      <c r="AZ214" s="1758"/>
      <c r="BA214" s="1758">
        <v>50</v>
      </c>
      <c r="BB214" s="1758" t="s">
        <v>775</v>
      </c>
    </row>
    <row r="215" spans="40:54" ht="12" customHeight="1">
      <c r="AN215" t="str">
        <f t="shared" si="6"/>
        <v>41132391376531996</v>
      </c>
      <c r="AO215" t="str">
        <f t="shared" si="7"/>
        <v>4113239100885600</v>
      </c>
      <c r="AP215" s="1758" t="s">
        <v>873</v>
      </c>
      <c r="AQ215" s="1759">
        <v>4113239</v>
      </c>
      <c r="AR215" s="1758"/>
      <c r="AS215" s="1758">
        <v>100</v>
      </c>
      <c r="AT215" s="1759">
        <v>100</v>
      </c>
      <c r="AU215" s="1758">
        <v>1376531996</v>
      </c>
      <c r="AV215" s="1758">
        <v>1376531996</v>
      </c>
      <c r="AW215" s="1758">
        <v>100885600</v>
      </c>
      <c r="AX215" s="1758"/>
      <c r="AY215" s="1758"/>
      <c r="AZ215" s="1758"/>
      <c r="BA215" s="1758"/>
      <c r="BB215" s="1758" t="s">
        <v>775</v>
      </c>
    </row>
    <row r="216" spans="40:56" ht="12" customHeight="1">
      <c r="AN216" t="str">
        <f t="shared" si="6"/>
        <v>41154611740729987</v>
      </c>
      <c r="AO216" t="str">
        <f t="shared" si="7"/>
        <v>4115461208259300</v>
      </c>
      <c r="AP216" s="1758" t="s">
        <v>774</v>
      </c>
      <c r="AQ216" s="1759">
        <v>4115461</v>
      </c>
      <c r="AR216" s="1758" t="s">
        <v>775</v>
      </c>
      <c r="AS216" s="1758">
        <v>2100</v>
      </c>
      <c r="AT216" s="1759">
        <v>2100</v>
      </c>
      <c r="AU216" s="1758">
        <v>1740729987</v>
      </c>
      <c r="AV216" s="1758">
        <v>1740729987</v>
      </c>
      <c r="AW216" s="1758">
        <v>208259300</v>
      </c>
      <c r="AX216" s="1758" t="s">
        <v>775</v>
      </c>
      <c r="AY216" s="1758" t="s">
        <v>775</v>
      </c>
      <c r="AZ216" s="1758" t="s">
        <v>775</v>
      </c>
      <c r="BA216" s="1758" t="s">
        <v>775</v>
      </c>
      <c r="BB216" s="1758" t="s">
        <v>775</v>
      </c>
      <c r="BC216" t="s">
        <v>775</v>
      </c>
      <c r="BD216" t="s">
        <v>775</v>
      </c>
    </row>
    <row r="217" spans="40:54" ht="12" customHeight="1">
      <c r="AN217" t="str">
        <f t="shared" si="6"/>
        <v>41133121205983517</v>
      </c>
      <c r="AO217" t="str">
        <f t="shared" si="7"/>
        <v>4113312100494900</v>
      </c>
      <c r="AP217" s="1758" t="s">
        <v>774</v>
      </c>
      <c r="AQ217" s="1759">
        <v>4113312</v>
      </c>
      <c r="AR217" s="1758"/>
      <c r="AS217" s="1758">
        <v>40800</v>
      </c>
      <c r="AT217" s="1759">
        <v>40800</v>
      </c>
      <c r="AU217" s="1758">
        <v>1205983517</v>
      </c>
      <c r="AV217" s="1758">
        <v>1205983517</v>
      </c>
      <c r="AW217" s="1758">
        <v>100494900</v>
      </c>
      <c r="AX217" s="1758"/>
      <c r="AY217" s="1758"/>
      <c r="AZ217" s="1758"/>
      <c r="BA217" s="1758"/>
      <c r="BB217" s="1758" t="s">
        <v>775</v>
      </c>
    </row>
    <row r="218" spans="40:54" ht="12" customHeight="1">
      <c r="AN218" t="str">
        <f t="shared" si="6"/>
        <v>41133381528000387</v>
      </c>
      <c r="AO218" t="str">
        <f t="shared" si="7"/>
        <v>4113338101242100</v>
      </c>
      <c r="AP218" s="1758" t="s">
        <v>788</v>
      </c>
      <c r="AQ218" s="1759">
        <v>4113338</v>
      </c>
      <c r="AR218" s="1758"/>
      <c r="AS218" s="1758">
        <v>40270</v>
      </c>
      <c r="AT218" s="1759">
        <v>40270</v>
      </c>
      <c r="AU218" s="1758">
        <v>1528000387</v>
      </c>
      <c r="AV218" s="1758">
        <v>1528000387</v>
      </c>
      <c r="AW218" s="1758">
        <v>101242100</v>
      </c>
      <c r="AX218" s="1758"/>
      <c r="AY218" s="1758"/>
      <c r="AZ218" s="1758"/>
      <c r="BA218" s="1758">
        <v>50</v>
      </c>
      <c r="BB218" s="1758" t="s">
        <v>775</v>
      </c>
    </row>
    <row r="219" spans="40:54" ht="12" customHeight="1">
      <c r="AN219" t="str">
        <f t="shared" si="6"/>
        <v>41133461316984917</v>
      </c>
      <c r="AO219" t="str">
        <f t="shared" si="7"/>
        <v>4113346102911700</v>
      </c>
      <c r="AP219" s="1758" t="s">
        <v>788</v>
      </c>
      <c r="AQ219" s="1759">
        <v>4113346</v>
      </c>
      <c r="AR219" s="1758"/>
      <c r="AS219" s="1758">
        <v>18800</v>
      </c>
      <c r="AT219" s="1759">
        <v>18800</v>
      </c>
      <c r="AU219" s="1758">
        <v>1316984917</v>
      </c>
      <c r="AV219" s="1758">
        <v>1316984917</v>
      </c>
      <c r="AW219" s="1758">
        <v>102911700</v>
      </c>
      <c r="AX219" s="1758"/>
      <c r="AY219" s="1758"/>
      <c r="AZ219" s="1758"/>
      <c r="BA219" s="1758"/>
      <c r="BB219" s="1758" t="s">
        <v>775</v>
      </c>
    </row>
    <row r="220" spans="40:54" ht="12" customHeight="1">
      <c r="AN220" t="str">
        <f t="shared" si="6"/>
        <v>41133611093700353</v>
      </c>
      <c r="AO220" t="str">
        <f t="shared" si="7"/>
        <v>4113361100214000</v>
      </c>
      <c r="AP220" s="1758" t="s">
        <v>774</v>
      </c>
      <c r="AQ220" s="1759">
        <v>4113361</v>
      </c>
      <c r="AR220" s="1758"/>
      <c r="AS220" s="1758">
        <v>5100</v>
      </c>
      <c r="AT220" s="1759">
        <v>5100</v>
      </c>
      <c r="AU220" s="1758">
        <v>1093700353</v>
      </c>
      <c r="AV220" s="1758">
        <v>1093700353</v>
      </c>
      <c r="AW220" s="1758">
        <v>100214000</v>
      </c>
      <c r="AX220" s="1758"/>
      <c r="AY220" s="1758"/>
      <c r="AZ220" s="1758"/>
      <c r="BA220" s="1758"/>
      <c r="BB220" s="1758" t="s">
        <v>775</v>
      </c>
    </row>
    <row r="221" spans="40:54" ht="12" customHeight="1">
      <c r="AN221" t="str">
        <f t="shared" si="6"/>
        <v>41134521487640678</v>
      </c>
      <c r="AO221" t="str">
        <f t="shared" si="7"/>
        <v>4113452101150400</v>
      </c>
      <c r="AP221" s="1758" t="s">
        <v>873</v>
      </c>
      <c r="AQ221" s="1759">
        <v>4113452</v>
      </c>
      <c r="AR221" s="1758"/>
      <c r="AS221" s="1758">
        <v>40160</v>
      </c>
      <c r="AT221" s="1759">
        <v>40160</v>
      </c>
      <c r="AU221" s="1758">
        <v>1487640678</v>
      </c>
      <c r="AV221" s="1758">
        <v>1487640678</v>
      </c>
      <c r="AW221" s="1758">
        <v>101150400</v>
      </c>
      <c r="AX221" s="1758"/>
      <c r="AY221" s="1758"/>
      <c r="AZ221" s="1758"/>
      <c r="BA221" s="1758"/>
      <c r="BB221" s="1758" t="s">
        <v>775</v>
      </c>
    </row>
    <row r="222" spans="40:54" ht="12" customHeight="1">
      <c r="AN222" t="str">
        <f t="shared" si="6"/>
        <v>41134601316932114</v>
      </c>
      <c r="AO222" t="str">
        <f t="shared" si="7"/>
        <v>4113460100754000</v>
      </c>
      <c r="AP222" s="1758" t="s">
        <v>1014</v>
      </c>
      <c r="AQ222" s="1759">
        <v>4113460</v>
      </c>
      <c r="AR222" s="1758"/>
      <c r="AS222" s="1758">
        <v>40410</v>
      </c>
      <c r="AT222" s="1759">
        <v>40410</v>
      </c>
      <c r="AU222" s="1758">
        <v>1316932114</v>
      </c>
      <c r="AV222" s="1758">
        <v>1316932114</v>
      </c>
      <c r="AW222" s="1758">
        <v>100754000</v>
      </c>
      <c r="AX222" s="1758"/>
      <c r="AY222" s="1758"/>
      <c r="AZ222" s="1758"/>
      <c r="BA222" s="1758"/>
      <c r="BB222" s="1758" t="s">
        <v>775</v>
      </c>
    </row>
    <row r="223" spans="40:54" ht="12" customHeight="1">
      <c r="AN223" t="str">
        <f t="shared" si="6"/>
        <v>41134861174572432</v>
      </c>
      <c r="AO223" t="str">
        <f t="shared" si="7"/>
        <v>4113486100410900</v>
      </c>
      <c r="AP223" s="1758" t="s">
        <v>904</v>
      </c>
      <c r="AQ223" s="1759">
        <v>4113486</v>
      </c>
      <c r="AR223" s="1758"/>
      <c r="AS223" s="1758">
        <v>40760</v>
      </c>
      <c r="AT223" s="1759">
        <v>40760</v>
      </c>
      <c r="AU223" s="1758">
        <v>1174572432</v>
      </c>
      <c r="AV223" s="1758">
        <v>1174572432</v>
      </c>
      <c r="AW223" s="1758">
        <v>100410900</v>
      </c>
      <c r="AX223" s="1758"/>
      <c r="AY223" s="1758"/>
      <c r="AZ223" s="1758">
        <v>45</v>
      </c>
      <c r="BA223" s="1758"/>
      <c r="BB223" s="1758" t="s">
        <v>775</v>
      </c>
    </row>
    <row r="224" spans="40:54" ht="12" customHeight="1">
      <c r="AN224" t="str">
        <f t="shared" si="6"/>
        <v>41135101285619577</v>
      </c>
      <c r="AO224" t="str">
        <f t="shared" si="7"/>
        <v>4113510100672200</v>
      </c>
      <c r="AP224" s="1758" t="s">
        <v>774</v>
      </c>
      <c r="AQ224" s="1759">
        <v>4113510</v>
      </c>
      <c r="AR224" s="1758"/>
      <c r="AS224" s="1758">
        <v>26060</v>
      </c>
      <c r="AT224" s="1759">
        <v>26060</v>
      </c>
      <c r="AU224" s="1758">
        <v>1285619577</v>
      </c>
      <c r="AV224" s="1758">
        <v>1285619577</v>
      </c>
      <c r="AW224" s="1758">
        <v>100672200</v>
      </c>
      <c r="AX224" s="1758"/>
      <c r="AY224" s="1758"/>
      <c r="AZ224" s="1758"/>
      <c r="BA224" s="1758"/>
      <c r="BB224" s="1758" t="s">
        <v>775</v>
      </c>
    </row>
    <row r="225" spans="40:54" ht="12" customHeight="1">
      <c r="AN225" t="str">
        <f t="shared" si="6"/>
        <v>41135281205811585</v>
      </c>
      <c r="AO225" t="str">
        <f t="shared" si="7"/>
        <v>4113528100474100</v>
      </c>
      <c r="AP225" s="1758" t="s">
        <v>774</v>
      </c>
      <c r="AQ225" s="1759">
        <v>4113528</v>
      </c>
      <c r="AR225" s="1758"/>
      <c r="AS225" s="1758">
        <v>5500</v>
      </c>
      <c r="AT225" s="1759">
        <v>5500</v>
      </c>
      <c r="AU225" s="1758">
        <v>1205811585</v>
      </c>
      <c r="AV225" s="1758">
        <v>1205811585</v>
      </c>
      <c r="AW225" s="1758">
        <v>100474100</v>
      </c>
      <c r="AX225" s="1758"/>
      <c r="AY225" s="1758"/>
      <c r="AZ225" s="1758"/>
      <c r="BA225" s="1758"/>
      <c r="BB225" s="1758" t="s">
        <v>775</v>
      </c>
    </row>
    <row r="226" spans="40:54" ht="12" customHeight="1">
      <c r="AN226" t="str">
        <f t="shared" si="6"/>
        <v>41135361578559894</v>
      </c>
      <c r="AO226" t="str">
        <f t="shared" si="7"/>
        <v>4113536101367100</v>
      </c>
      <c r="AP226" s="1758" t="s">
        <v>873</v>
      </c>
      <c r="AQ226" s="1759">
        <v>4113536</v>
      </c>
      <c r="AR226" s="1758"/>
      <c r="AS226" s="1758">
        <v>24300</v>
      </c>
      <c r="AT226" s="1759">
        <v>24300</v>
      </c>
      <c r="AU226" s="1758">
        <v>1578559894</v>
      </c>
      <c r="AV226" s="1758">
        <v>1578559894</v>
      </c>
      <c r="AW226" s="1758">
        <v>101367100</v>
      </c>
      <c r="AX226" s="1758"/>
      <c r="AY226" s="1758"/>
      <c r="AZ226" s="1758"/>
      <c r="BA226" s="1758"/>
      <c r="BB226" s="1758" t="s">
        <v>775</v>
      </c>
    </row>
    <row r="227" spans="40:54" ht="12" customHeight="1">
      <c r="AN227" t="str">
        <f t="shared" si="6"/>
        <v>41135441801882014</v>
      </c>
      <c r="AO227" t="str">
        <f t="shared" si="7"/>
        <v>4113544101932000</v>
      </c>
      <c r="AP227" s="1758" t="s">
        <v>873</v>
      </c>
      <c r="AQ227" s="1759">
        <v>4113544</v>
      </c>
      <c r="AR227" s="1758"/>
      <c r="AS227" s="1758">
        <v>22200</v>
      </c>
      <c r="AT227" s="1759">
        <v>22200</v>
      </c>
      <c r="AU227" s="1758">
        <v>1801882014</v>
      </c>
      <c r="AV227" s="1758">
        <v>1801882014</v>
      </c>
      <c r="AW227" s="1758">
        <v>101932000</v>
      </c>
      <c r="AX227" s="1758"/>
      <c r="AY227" s="1758"/>
      <c r="AZ227" s="1758">
        <v>45</v>
      </c>
      <c r="BA227" s="1758">
        <v>50</v>
      </c>
      <c r="BB227" s="1758" t="s">
        <v>775</v>
      </c>
    </row>
    <row r="228" spans="40:54" ht="12" customHeight="1">
      <c r="AN228" t="str">
        <f t="shared" si="6"/>
        <v>41135511902890262</v>
      </c>
      <c r="AO228" t="str">
        <f t="shared" si="7"/>
        <v>4113551102181000</v>
      </c>
      <c r="AP228" s="1758" t="s">
        <v>904</v>
      </c>
      <c r="AQ228" s="1759">
        <v>4113551</v>
      </c>
      <c r="AR228" s="1758"/>
      <c r="AS228" s="1758">
        <v>40790</v>
      </c>
      <c r="AT228" s="1759">
        <v>40790</v>
      </c>
      <c r="AU228" s="1758">
        <v>1902890262</v>
      </c>
      <c r="AV228" s="1758">
        <v>1902890262</v>
      </c>
      <c r="AW228" s="1758">
        <v>102181000</v>
      </c>
      <c r="AX228" s="1758"/>
      <c r="AY228" s="1758"/>
      <c r="AZ228" s="1758"/>
      <c r="BA228" s="1758"/>
      <c r="BB228" s="1758" t="s">
        <v>775</v>
      </c>
    </row>
    <row r="229" spans="40:54" ht="12" customHeight="1">
      <c r="AN229" t="str">
        <f t="shared" si="6"/>
        <v>41135691194719450</v>
      </c>
      <c r="AO229" t="str">
        <f t="shared" si="7"/>
        <v>4113569100449400</v>
      </c>
      <c r="AP229" s="1758" t="s">
        <v>904</v>
      </c>
      <c r="AQ229" s="1759">
        <v>4113569</v>
      </c>
      <c r="AR229" s="1758"/>
      <c r="AS229" s="1758">
        <v>9100</v>
      </c>
      <c r="AT229" s="1759">
        <v>9100</v>
      </c>
      <c r="AU229" s="1758">
        <v>1194719450</v>
      </c>
      <c r="AV229" s="1758">
        <v>1194719450</v>
      </c>
      <c r="AW229" s="1758">
        <v>100449400</v>
      </c>
      <c r="AX229" s="1758"/>
      <c r="AY229" s="1758"/>
      <c r="AZ229" s="1758"/>
      <c r="BA229" s="1758"/>
      <c r="BB229" s="1758" t="s">
        <v>775</v>
      </c>
    </row>
    <row r="230" spans="40:54" ht="12" customHeight="1">
      <c r="AN230" t="str">
        <f t="shared" si="6"/>
        <v>41135771659365922</v>
      </c>
      <c r="AO230" t="str">
        <f t="shared" si="7"/>
        <v>4113577101564200</v>
      </c>
      <c r="AP230" s="1758" t="s">
        <v>904</v>
      </c>
      <c r="AQ230" s="1759">
        <v>4113577</v>
      </c>
      <c r="AR230" s="1758"/>
      <c r="AS230" s="1758">
        <v>25100</v>
      </c>
      <c r="AT230" s="1759">
        <v>25100</v>
      </c>
      <c r="AU230" s="1758">
        <v>1659365922</v>
      </c>
      <c r="AV230" s="1758">
        <v>1659365922</v>
      </c>
      <c r="AW230" s="1758">
        <v>101564200</v>
      </c>
      <c r="AX230" s="1758"/>
      <c r="AY230" s="1758"/>
      <c r="AZ230" s="1758">
        <v>45</v>
      </c>
      <c r="BA230" s="1758"/>
      <c r="BB230" s="1758" t="s">
        <v>775</v>
      </c>
    </row>
    <row r="231" spans="40:54" ht="12" customHeight="1">
      <c r="AN231" t="str">
        <f t="shared" si="6"/>
        <v>41135851992799266</v>
      </c>
      <c r="AO231" t="str">
        <f t="shared" si="7"/>
        <v>4113585102399900</v>
      </c>
      <c r="AP231" s="1758" t="s">
        <v>904</v>
      </c>
      <c r="AQ231" s="1759">
        <v>4113585</v>
      </c>
      <c r="AR231" s="1758"/>
      <c r="AS231" s="1758">
        <v>40510</v>
      </c>
      <c r="AT231" s="1759">
        <v>40510</v>
      </c>
      <c r="AU231" s="1758">
        <v>1992799266</v>
      </c>
      <c r="AV231" s="1758">
        <v>1992799266</v>
      </c>
      <c r="AW231" s="1758">
        <v>102399900</v>
      </c>
      <c r="AX231" s="1758"/>
      <c r="AY231" s="1758"/>
      <c r="AZ231" s="1758"/>
      <c r="BA231" s="1758"/>
      <c r="BB231" s="1758" t="s">
        <v>775</v>
      </c>
    </row>
    <row r="232" spans="40:54" ht="12" customHeight="1">
      <c r="AN232" t="str">
        <f t="shared" si="6"/>
        <v>41135931528052891</v>
      </c>
      <c r="AO232" t="str">
        <f t="shared" si="7"/>
        <v>4113593101249400</v>
      </c>
      <c r="AP232" s="1758" t="s">
        <v>904</v>
      </c>
      <c r="AQ232" s="1759">
        <v>4113593</v>
      </c>
      <c r="AR232" s="1758"/>
      <c r="AS232" s="1758">
        <v>19800</v>
      </c>
      <c r="AT232" s="1759">
        <v>19800</v>
      </c>
      <c r="AU232" s="1758">
        <v>1528052891</v>
      </c>
      <c r="AV232" s="1758">
        <v>1528052891</v>
      </c>
      <c r="AW232" s="1758">
        <v>101249400</v>
      </c>
      <c r="AX232" s="1758"/>
      <c r="AY232" s="1758"/>
      <c r="AZ232" s="1758">
        <v>45</v>
      </c>
      <c r="BA232" s="1758"/>
      <c r="BB232" s="1758" t="s">
        <v>775</v>
      </c>
    </row>
    <row r="233" spans="40:54" ht="12" customHeight="1">
      <c r="AN233" t="str">
        <f t="shared" si="6"/>
        <v>41136191114911484</v>
      </c>
      <c r="AO233" t="str">
        <f t="shared" si="7"/>
        <v>4113619100278100</v>
      </c>
      <c r="AP233" s="1758" t="s">
        <v>904</v>
      </c>
      <c r="AQ233" s="1759">
        <v>4113619</v>
      </c>
      <c r="AR233" s="1758"/>
      <c r="AS233" s="1758">
        <v>21200</v>
      </c>
      <c r="AT233" s="1759">
        <v>21200</v>
      </c>
      <c r="AU233" s="1758">
        <v>1114911484</v>
      </c>
      <c r="AV233" s="1758">
        <v>1114911484</v>
      </c>
      <c r="AW233" s="1758">
        <v>100278100</v>
      </c>
      <c r="AX233" s="1758"/>
      <c r="AY233" s="1758"/>
      <c r="AZ233" s="1758"/>
      <c r="BA233" s="1758"/>
      <c r="BB233" s="1758" t="s">
        <v>775</v>
      </c>
    </row>
    <row r="234" spans="40:54" ht="12" customHeight="1">
      <c r="AN234" t="str">
        <f t="shared" si="6"/>
        <v>41136271508850876</v>
      </c>
      <c r="AO234" t="str">
        <f t="shared" si="7"/>
        <v>4113627101203600</v>
      </c>
      <c r="AP234" s="1758" t="s">
        <v>904</v>
      </c>
      <c r="AQ234" s="1759">
        <v>4113627</v>
      </c>
      <c r="AR234" s="1758"/>
      <c r="AS234" s="1758">
        <v>19900</v>
      </c>
      <c r="AT234" s="1759">
        <v>19900</v>
      </c>
      <c r="AU234" s="1758">
        <v>1508850876</v>
      </c>
      <c r="AV234" s="1758">
        <v>1508850876</v>
      </c>
      <c r="AW234" s="1758">
        <v>101203600</v>
      </c>
      <c r="AX234" s="1758"/>
      <c r="AY234" s="1758"/>
      <c r="AZ234" s="1758">
        <v>45</v>
      </c>
      <c r="BA234" s="1758"/>
      <c r="BB234" s="1758" t="s">
        <v>775</v>
      </c>
    </row>
    <row r="235" spans="40:54" ht="12" customHeight="1">
      <c r="AN235" t="str">
        <f t="shared" si="6"/>
        <v>41136351861488280</v>
      </c>
      <c r="AO235" t="str">
        <f t="shared" si="7"/>
        <v>4113635109258200</v>
      </c>
      <c r="AP235" s="1758" t="s">
        <v>904</v>
      </c>
      <c r="AQ235" s="1759">
        <v>4113635</v>
      </c>
      <c r="AR235" s="1758"/>
      <c r="AS235" s="1758">
        <v>35400</v>
      </c>
      <c r="AT235" s="1759">
        <v>35400</v>
      </c>
      <c r="AU235" s="1758">
        <v>1861488280</v>
      </c>
      <c r="AV235" s="1758">
        <v>1861488280</v>
      </c>
      <c r="AW235" s="1758">
        <v>109258200</v>
      </c>
      <c r="AX235" s="1758"/>
      <c r="AY235" s="1758"/>
      <c r="AZ235" s="1758"/>
      <c r="BA235" s="1758">
        <v>50</v>
      </c>
      <c r="BB235" s="1758" t="s">
        <v>775</v>
      </c>
    </row>
    <row r="236" spans="40:54" ht="12" customHeight="1">
      <c r="AN236" t="str">
        <f t="shared" si="6"/>
        <v>41136431962493247</v>
      </c>
      <c r="AO236" t="str">
        <f t="shared" si="7"/>
        <v>4113643102329000</v>
      </c>
      <c r="AP236" s="1758" t="s">
        <v>788</v>
      </c>
      <c r="AQ236" s="1759">
        <v>4113643</v>
      </c>
      <c r="AR236" s="1758"/>
      <c r="AS236" s="1758">
        <v>8700</v>
      </c>
      <c r="AT236" s="1759">
        <v>8700</v>
      </c>
      <c r="AU236" s="1758">
        <v>1962493247</v>
      </c>
      <c r="AV236" s="1758">
        <v>1962493247</v>
      </c>
      <c r="AW236" s="1758">
        <v>102329000</v>
      </c>
      <c r="AX236" s="1758"/>
      <c r="AY236" s="1758"/>
      <c r="AZ236" s="1758"/>
      <c r="BA236" s="1758"/>
      <c r="BB236" s="1758" t="s">
        <v>775</v>
      </c>
    </row>
    <row r="237" spans="40:54" ht="12" customHeight="1">
      <c r="AN237" t="str">
        <f t="shared" si="6"/>
        <v>41136501730189440</v>
      </c>
      <c r="AO237" t="str">
        <f t="shared" si="7"/>
        <v>4113650101760600</v>
      </c>
      <c r="AP237" s="1758" t="s">
        <v>1073</v>
      </c>
      <c r="AQ237" s="1759">
        <v>4113650</v>
      </c>
      <c r="AR237" s="1758"/>
      <c r="AS237" s="1758">
        <v>40580</v>
      </c>
      <c r="AT237" s="1759">
        <v>40580</v>
      </c>
      <c r="AU237" s="1758">
        <v>1730189440</v>
      </c>
      <c r="AV237" s="1758">
        <v>1730189440</v>
      </c>
      <c r="AW237" s="1758">
        <v>101760600</v>
      </c>
      <c r="AX237" s="1758"/>
      <c r="AY237" s="1758"/>
      <c r="AZ237" s="1758"/>
      <c r="BA237" s="1758"/>
      <c r="BB237" s="1758" t="s">
        <v>775</v>
      </c>
    </row>
    <row r="238" spans="40:54" ht="12" customHeight="1">
      <c r="AN238" t="str">
        <f t="shared" si="6"/>
        <v>41136681851386122</v>
      </c>
      <c r="AO238" t="str">
        <f t="shared" si="7"/>
        <v>4113668102060100</v>
      </c>
      <c r="AP238" s="1758" t="s">
        <v>873</v>
      </c>
      <c r="AQ238" s="1759">
        <v>4113668</v>
      </c>
      <c r="AR238" s="1758"/>
      <c r="AS238" s="1758">
        <v>25300</v>
      </c>
      <c r="AT238" s="1759">
        <v>25300</v>
      </c>
      <c r="AU238" s="1758">
        <v>1851386122</v>
      </c>
      <c r="AV238" s="1758">
        <v>1851386122</v>
      </c>
      <c r="AW238" s="1758">
        <v>102060100</v>
      </c>
      <c r="AX238" s="1758"/>
      <c r="AY238" s="1758"/>
      <c r="AZ238" s="1758">
        <v>45</v>
      </c>
      <c r="BA238" s="1758"/>
      <c r="BB238" s="1758" t="s">
        <v>775</v>
      </c>
    </row>
    <row r="239" spans="40:54" ht="12" customHeight="1">
      <c r="AN239" t="str">
        <f t="shared" si="6"/>
        <v>41136841992759120</v>
      </c>
      <c r="AO239" t="str">
        <f t="shared" si="7"/>
        <v>4113684102394400</v>
      </c>
      <c r="AP239" s="1758" t="s">
        <v>851</v>
      </c>
      <c r="AQ239" s="1759">
        <v>4113684</v>
      </c>
      <c r="AR239" s="1758"/>
      <c r="AS239" s="1758">
        <v>26010</v>
      </c>
      <c r="AT239" s="1759">
        <v>26010</v>
      </c>
      <c r="AU239" s="1758">
        <v>1992759120</v>
      </c>
      <c r="AV239" s="1758">
        <v>1992759120</v>
      </c>
      <c r="AW239" s="1758">
        <v>102394400</v>
      </c>
      <c r="AX239" s="1758"/>
      <c r="AY239" s="1758"/>
      <c r="AZ239" s="1758"/>
      <c r="BA239" s="1758"/>
      <c r="BB239" s="1758" t="s">
        <v>775</v>
      </c>
    </row>
    <row r="240" spans="40:54" ht="12" customHeight="1">
      <c r="AN240" t="str">
        <f t="shared" si="6"/>
        <v>41137181508877895</v>
      </c>
      <c r="AO240" t="str">
        <f t="shared" si="7"/>
        <v>4113718104449900</v>
      </c>
      <c r="AP240" s="1758" t="s">
        <v>851</v>
      </c>
      <c r="AQ240" s="1759">
        <v>4113718</v>
      </c>
      <c r="AR240" s="1758"/>
      <c r="AS240" s="1758">
        <v>14900</v>
      </c>
      <c r="AT240" s="1759">
        <v>14900</v>
      </c>
      <c r="AU240" s="1758">
        <v>1508877895</v>
      </c>
      <c r="AV240" s="1758">
        <v>1508877895</v>
      </c>
      <c r="AW240" s="1758">
        <v>104449900</v>
      </c>
      <c r="AX240" s="1758"/>
      <c r="AY240" s="1758"/>
      <c r="AZ240" s="1758"/>
      <c r="BA240" s="1758"/>
      <c r="BB240" s="1758" t="s">
        <v>775</v>
      </c>
    </row>
    <row r="241" spans="40:54" ht="12" customHeight="1">
      <c r="AN241" t="str">
        <f t="shared" si="6"/>
        <v>41137261275501009</v>
      </c>
      <c r="AO241" t="str">
        <f t="shared" si="7"/>
        <v>4113726100885500</v>
      </c>
      <c r="AP241" s="1758" t="s">
        <v>1014</v>
      </c>
      <c r="AQ241" s="1759">
        <v>4113726</v>
      </c>
      <c r="AR241" s="1758"/>
      <c r="AS241" s="1758">
        <v>40750</v>
      </c>
      <c r="AT241" s="1759">
        <v>40750</v>
      </c>
      <c r="AU241" s="1758">
        <v>1275501009</v>
      </c>
      <c r="AV241" s="1758">
        <v>1275501009</v>
      </c>
      <c r="AW241" s="1758">
        <v>100885500</v>
      </c>
      <c r="AX241" s="1758"/>
      <c r="AY241" s="1758"/>
      <c r="AZ241" s="1758"/>
      <c r="BA241" s="1758">
        <v>50</v>
      </c>
      <c r="BB241" s="1758" t="s">
        <v>775</v>
      </c>
    </row>
    <row r="242" spans="40:54" ht="12" customHeight="1">
      <c r="AN242" t="str">
        <f t="shared" si="6"/>
        <v>41137421538146378</v>
      </c>
      <c r="AO242" t="str">
        <f t="shared" si="7"/>
        <v>4113742101273200</v>
      </c>
      <c r="AP242" s="1758" t="s">
        <v>1014</v>
      </c>
      <c r="AQ242" s="1759">
        <v>4113742</v>
      </c>
      <c r="AR242" s="1758"/>
      <c r="AS242" s="1758">
        <v>26500</v>
      </c>
      <c r="AT242" s="1759">
        <v>26500</v>
      </c>
      <c r="AU242" s="1758">
        <v>1538146378</v>
      </c>
      <c r="AV242" s="1758">
        <v>1538146378</v>
      </c>
      <c r="AW242" s="1758">
        <v>101273200</v>
      </c>
      <c r="AX242" s="1758"/>
      <c r="AY242" s="1758"/>
      <c r="AZ242" s="1758"/>
      <c r="BA242" s="1758"/>
      <c r="BB242" s="1758" t="s">
        <v>775</v>
      </c>
    </row>
    <row r="243" spans="40:54" ht="12" customHeight="1">
      <c r="AN243" t="str">
        <f t="shared" si="6"/>
        <v>41137751679510150</v>
      </c>
      <c r="AO243" t="str">
        <f t="shared" si="7"/>
        <v>4113775101602900</v>
      </c>
      <c r="AP243" s="1758" t="s">
        <v>774</v>
      </c>
      <c r="AQ243" s="1759">
        <v>4113775</v>
      </c>
      <c r="AR243" s="1758"/>
      <c r="AS243" s="1758">
        <v>17400</v>
      </c>
      <c r="AT243" s="1759">
        <v>17400</v>
      </c>
      <c r="AU243" s="1758">
        <v>1679510150</v>
      </c>
      <c r="AV243" s="1758">
        <v>1679510150</v>
      </c>
      <c r="AW243" s="1758">
        <v>101602900</v>
      </c>
      <c r="AX243" s="1758"/>
      <c r="AY243" s="1758"/>
      <c r="AZ243" s="1758"/>
      <c r="BA243" s="1758">
        <v>50</v>
      </c>
      <c r="BB243" s="1758" t="s">
        <v>775</v>
      </c>
    </row>
    <row r="244" spans="40:54" ht="12" customHeight="1">
      <c r="AN244" t="str">
        <f t="shared" si="6"/>
        <v>41138171679527899</v>
      </c>
      <c r="AO244" t="str">
        <f t="shared" si="7"/>
        <v>4113817101604900</v>
      </c>
      <c r="AP244" s="1758" t="s">
        <v>851</v>
      </c>
      <c r="AQ244" s="1759">
        <v>4113817</v>
      </c>
      <c r="AR244" s="1758"/>
      <c r="AS244" s="1758">
        <v>20400</v>
      </c>
      <c r="AT244" s="1759">
        <v>20400</v>
      </c>
      <c r="AU244" s="1758">
        <v>1679527899</v>
      </c>
      <c r="AV244" s="1758">
        <v>1679527899</v>
      </c>
      <c r="AW244" s="1758">
        <v>101604900</v>
      </c>
      <c r="AX244" s="1758"/>
      <c r="AY244" s="1758"/>
      <c r="AZ244" s="1758">
        <v>45</v>
      </c>
      <c r="BA244" s="1758"/>
      <c r="BB244" s="1758" t="s">
        <v>775</v>
      </c>
    </row>
    <row r="245" spans="40:54" ht="12" customHeight="1">
      <c r="AN245" t="str">
        <f t="shared" si="6"/>
        <v>41138251568450807</v>
      </c>
      <c r="AO245" t="str">
        <f t="shared" si="7"/>
        <v>4113825101342400</v>
      </c>
      <c r="AP245" s="1758" t="s">
        <v>940</v>
      </c>
      <c r="AQ245" s="1759">
        <v>4113825</v>
      </c>
      <c r="AR245" s="1758"/>
      <c r="AS245" s="1758">
        <v>18900</v>
      </c>
      <c r="AT245" s="1759">
        <v>18900</v>
      </c>
      <c r="AU245" s="1758">
        <v>1568450807</v>
      </c>
      <c r="AV245" s="1758">
        <v>1568450807</v>
      </c>
      <c r="AW245" s="1758">
        <v>101342400</v>
      </c>
      <c r="AX245" s="1758"/>
      <c r="AY245" s="1758"/>
      <c r="AZ245" s="1758"/>
      <c r="BA245" s="1758"/>
      <c r="BB245" s="1758" t="s">
        <v>775</v>
      </c>
    </row>
    <row r="246" spans="40:54" ht="12" customHeight="1">
      <c r="AN246" t="str">
        <f t="shared" si="6"/>
        <v>41138331578518593</v>
      </c>
      <c r="AO246" t="str">
        <f t="shared" si="7"/>
        <v>4113833101361500</v>
      </c>
      <c r="AP246" s="1758" t="s">
        <v>851</v>
      </c>
      <c r="AQ246" s="1759">
        <v>4113833</v>
      </c>
      <c r="AR246" s="1758"/>
      <c r="AS246" s="1758">
        <v>20500</v>
      </c>
      <c r="AT246" s="1759">
        <v>20500</v>
      </c>
      <c r="AU246" s="1758">
        <v>1578518593</v>
      </c>
      <c r="AV246" s="1758">
        <v>1578518593</v>
      </c>
      <c r="AW246" s="1758">
        <v>101361500</v>
      </c>
      <c r="AX246" s="1758"/>
      <c r="AY246" s="1758"/>
      <c r="AZ246" s="1758"/>
      <c r="BA246" s="1758"/>
      <c r="BB246" s="1758" t="s">
        <v>775</v>
      </c>
    </row>
    <row r="247" spans="40:54" ht="12" customHeight="1">
      <c r="AN247" t="str">
        <f t="shared" si="6"/>
        <v>41138741508811183</v>
      </c>
      <c r="AO247" t="str">
        <f t="shared" si="7"/>
        <v>4113874101197000</v>
      </c>
      <c r="AP247" s="1758" t="s">
        <v>851</v>
      </c>
      <c r="AQ247" s="1759">
        <v>4113874</v>
      </c>
      <c r="AR247" s="1758"/>
      <c r="AS247" s="1758">
        <v>14600</v>
      </c>
      <c r="AT247" s="1759">
        <v>14600</v>
      </c>
      <c r="AU247" s="1758">
        <v>1508811183</v>
      </c>
      <c r="AV247" s="1758">
        <v>1508811183</v>
      </c>
      <c r="AW247" s="1758">
        <v>101197000</v>
      </c>
      <c r="AX247" s="1758"/>
      <c r="AY247" s="1758"/>
      <c r="AZ247" s="1758"/>
      <c r="BA247" s="1758"/>
      <c r="BB247" s="1758" t="s">
        <v>775</v>
      </c>
    </row>
    <row r="248" spans="40:54" ht="12" customHeight="1">
      <c r="AN248" t="str">
        <f t="shared" si="6"/>
        <v>41138821790730091</v>
      </c>
      <c r="AO248" t="str">
        <f t="shared" si="7"/>
        <v>4113882101899100</v>
      </c>
      <c r="AP248" s="1758" t="s">
        <v>851</v>
      </c>
      <c r="AQ248" s="1759">
        <v>4113882</v>
      </c>
      <c r="AR248" s="1758"/>
      <c r="AS248" s="1758">
        <v>18400</v>
      </c>
      <c r="AT248" s="1759">
        <v>18400</v>
      </c>
      <c r="AU248" s="1758">
        <v>1790730091</v>
      </c>
      <c r="AV248" s="1758">
        <v>1790730091</v>
      </c>
      <c r="AW248" s="1758">
        <v>101899100</v>
      </c>
      <c r="AX248" s="1758"/>
      <c r="AY248" s="1758"/>
      <c r="AZ248" s="1758">
        <v>45</v>
      </c>
      <c r="BA248" s="1758"/>
      <c r="BB248" s="1758" t="s">
        <v>775</v>
      </c>
    </row>
    <row r="249" spans="40:54" ht="12" customHeight="1">
      <c r="AN249" t="str">
        <f t="shared" si="6"/>
        <v>41139161598864589</v>
      </c>
      <c r="AO249" t="str">
        <f t="shared" si="7"/>
        <v>4113916101430300</v>
      </c>
      <c r="AP249" s="1758" t="s">
        <v>788</v>
      </c>
      <c r="AQ249" s="1759">
        <v>4113916</v>
      </c>
      <c r="AR249" s="1758"/>
      <c r="AS249" s="1758">
        <v>10200</v>
      </c>
      <c r="AT249" s="1759">
        <v>10200</v>
      </c>
      <c r="AU249" s="1758">
        <v>1598864589</v>
      </c>
      <c r="AV249" s="1758">
        <v>1598864589</v>
      </c>
      <c r="AW249" s="1758">
        <v>101430300</v>
      </c>
      <c r="AX249" s="1758"/>
      <c r="AY249" s="1758"/>
      <c r="AZ249" s="1758"/>
      <c r="BA249" s="1758"/>
      <c r="BB249" s="1758" t="s">
        <v>775</v>
      </c>
    </row>
    <row r="250" spans="40:54" ht="12" customHeight="1">
      <c r="AN250" t="str">
        <f t="shared" si="6"/>
        <v>41139241609835990</v>
      </c>
      <c r="AO250" t="str">
        <f t="shared" si="7"/>
        <v>4113924101438800</v>
      </c>
      <c r="AP250" s="1758" t="s">
        <v>1014</v>
      </c>
      <c r="AQ250" s="1759">
        <v>4113924</v>
      </c>
      <c r="AR250" s="1758"/>
      <c r="AS250" s="1758">
        <v>10300</v>
      </c>
      <c r="AT250" s="1759">
        <v>10300</v>
      </c>
      <c r="AU250" s="1758">
        <v>1609835990</v>
      </c>
      <c r="AV250" s="1758">
        <v>1609835990</v>
      </c>
      <c r="AW250" s="1758">
        <v>101438800</v>
      </c>
      <c r="AX250" s="1758"/>
      <c r="AY250" s="1758"/>
      <c r="AZ250" s="1758"/>
      <c r="BA250" s="1758">
        <v>50</v>
      </c>
      <c r="BB250" s="1758" t="s">
        <v>775</v>
      </c>
    </row>
    <row r="251" spans="40:54" ht="12" customHeight="1">
      <c r="AN251" t="str">
        <f t="shared" si="6"/>
        <v>41139321356395545</v>
      </c>
      <c r="AO251" t="str">
        <f t="shared" si="7"/>
        <v>4113932102534400</v>
      </c>
      <c r="AP251" s="1758" t="s">
        <v>851</v>
      </c>
      <c r="AQ251" s="1759">
        <v>4113932</v>
      </c>
      <c r="AR251" s="1758"/>
      <c r="AS251" s="1758">
        <v>11400</v>
      </c>
      <c r="AT251" s="1759">
        <v>11400</v>
      </c>
      <c r="AU251" s="1758">
        <v>1356395545</v>
      </c>
      <c r="AV251" s="1758">
        <v>1356395545</v>
      </c>
      <c r="AW251" s="1758">
        <v>102534400</v>
      </c>
      <c r="AX251" s="1758"/>
      <c r="AY251" s="1758"/>
      <c r="AZ251" s="1758"/>
      <c r="BA251" s="1758">
        <v>50</v>
      </c>
      <c r="BB251" s="1758" t="s">
        <v>775</v>
      </c>
    </row>
    <row r="252" spans="40:54" ht="12" customHeight="1">
      <c r="AN252" t="str">
        <f t="shared" si="6"/>
        <v>41139401225037096</v>
      </c>
      <c r="AO252" t="str">
        <f t="shared" si="7"/>
        <v>4113940102612300</v>
      </c>
      <c r="AP252" s="1758" t="s">
        <v>1014</v>
      </c>
      <c r="AQ252" s="1759">
        <v>4113940</v>
      </c>
      <c r="AR252" s="1758"/>
      <c r="AS252" s="1758">
        <v>8900</v>
      </c>
      <c r="AT252" s="1759">
        <v>8900</v>
      </c>
      <c r="AU252" s="1758">
        <v>1225037096</v>
      </c>
      <c r="AV252" s="1758">
        <v>1225037096</v>
      </c>
      <c r="AW252" s="1758">
        <v>102612300</v>
      </c>
      <c r="AX252" s="1758"/>
      <c r="AY252" s="1758"/>
      <c r="AZ252" s="1758"/>
      <c r="BA252" s="1758"/>
      <c r="BB252" s="1758" t="s">
        <v>775</v>
      </c>
    </row>
    <row r="253" spans="40:54" ht="12" customHeight="1">
      <c r="AN253" t="str">
        <f t="shared" si="6"/>
        <v>41139731659326338</v>
      </c>
      <c r="AO253" t="str">
        <f t="shared" si="7"/>
        <v>4113973101557400</v>
      </c>
      <c r="AP253" s="1758" t="s">
        <v>904</v>
      </c>
      <c r="AQ253" s="1759">
        <v>4113973</v>
      </c>
      <c r="AR253" s="1758"/>
      <c r="AS253" s="1758">
        <v>40350</v>
      </c>
      <c r="AT253" s="1759">
        <v>40350</v>
      </c>
      <c r="AU253" s="1758">
        <v>1659326338</v>
      </c>
      <c r="AV253" s="1758">
        <v>1659326338</v>
      </c>
      <c r="AW253" s="1758">
        <v>101557400</v>
      </c>
      <c r="AX253" s="1758"/>
      <c r="AY253" s="1758"/>
      <c r="AZ253" s="1758"/>
      <c r="BA253" s="1758"/>
      <c r="BB253" s="1758" t="s">
        <v>775</v>
      </c>
    </row>
    <row r="254" spans="40:54" ht="12" customHeight="1">
      <c r="AN254" t="str">
        <f t="shared" si="6"/>
        <v>41139811184662868</v>
      </c>
      <c r="AO254" t="str">
        <f t="shared" si="7"/>
        <v>4113981100432000</v>
      </c>
      <c r="AP254" s="1758" t="s">
        <v>1014</v>
      </c>
      <c r="AQ254" s="1759">
        <v>4113981</v>
      </c>
      <c r="AR254" s="1758"/>
      <c r="AS254" s="1758">
        <v>5000</v>
      </c>
      <c r="AT254" s="1759">
        <v>5000</v>
      </c>
      <c r="AU254" s="1758">
        <v>1184662868</v>
      </c>
      <c r="AV254" s="1758">
        <v>1184662868</v>
      </c>
      <c r="AW254" s="1758">
        <v>100432000</v>
      </c>
      <c r="AX254" s="1758"/>
      <c r="AY254" s="1758"/>
      <c r="AZ254" s="1758"/>
      <c r="BA254" s="1758">
        <v>50</v>
      </c>
      <c r="BB254" s="1758" t="s">
        <v>775</v>
      </c>
    </row>
    <row r="255" spans="40:54" ht="12" customHeight="1">
      <c r="AN255" t="str">
        <f t="shared" si="6"/>
        <v>41140391841338704</v>
      </c>
      <c r="AO255" t="str">
        <f t="shared" si="7"/>
        <v>4114039109294600</v>
      </c>
      <c r="AP255" s="1758" t="s">
        <v>1014</v>
      </c>
      <c r="AQ255" s="1759">
        <v>4114039</v>
      </c>
      <c r="AR255" s="1758"/>
      <c r="AS255" s="1758">
        <v>16100</v>
      </c>
      <c r="AT255" s="1759">
        <v>16100</v>
      </c>
      <c r="AU255" s="1758">
        <v>1841338704</v>
      </c>
      <c r="AV255" s="1758">
        <v>1841338704</v>
      </c>
      <c r="AW255" s="1758">
        <v>109294600</v>
      </c>
      <c r="AX255" s="1758"/>
      <c r="AY255" s="1758"/>
      <c r="AZ255" s="1758"/>
      <c r="BA255" s="1758"/>
      <c r="BB255" s="1758" t="s">
        <v>775</v>
      </c>
    </row>
    <row r="256" spans="40:56" ht="12" customHeight="1">
      <c r="AN256" t="str">
        <f t="shared" si="6"/>
        <v>41140541053459925</v>
      </c>
      <c r="AO256" t="str">
        <f t="shared" si="7"/>
        <v>4114054101154700</v>
      </c>
      <c r="AP256" s="1758" t="s">
        <v>1014</v>
      </c>
      <c r="AQ256" s="1759">
        <v>4114054</v>
      </c>
      <c r="AR256" s="1758"/>
      <c r="AS256" s="1758">
        <v>28000</v>
      </c>
      <c r="AT256" s="1759">
        <v>28000</v>
      </c>
      <c r="AU256" s="1758">
        <v>1053459925</v>
      </c>
      <c r="AV256" s="1758">
        <v>1053459925</v>
      </c>
      <c r="AW256" s="1758">
        <v>101154700</v>
      </c>
      <c r="AX256" s="1758"/>
      <c r="AY256" s="1758"/>
      <c r="AZ256" s="1758"/>
      <c r="BA256" s="1758">
        <v>50</v>
      </c>
      <c r="BB256" s="1758" t="s">
        <v>775</v>
      </c>
      <c r="BC256">
        <v>62</v>
      </c>
      <c r="BD256">
        <v>63</v>
      </c>
    </row>
    <row r="257" spans="40:54" ht="12" customHeight="1">
      <c r="AN257" t="str">
        <f t="shared" si="6"/>
        <v>41140701629265871</v>
      </c>
      <c r="AO257" t="str">
        <f t="shared" si="7"/>
        <v>4114070105535700</v>
      </c>
      <c r="AP257" s="1758" t="s">
        <v>774</v>
      </c>
      <c r="AQ257" s="1759">
        <v>4114070</v>
      </c>
      <c r="AR257" s="1758"/>
      <c r="AS257" s="1758">
        <v>10500</v>
      </c>
      <c r="AT257" s="1759">
        <v>10500</v>
      </c>
      <c r="AU257" s="1758">
        <v>1629265871</v>
      </c>
      <c r="AV257" s="1758">
        <v>1629265871</v>
      </c>
      <c r="AW257" s="1758">
        <v>105535700</v>
      </c>
      <c r="AX257" s="1758"/>
      <c r="AY257" s="1758"/>
      <c r="AZ257" s="1758">
        <v>45</v>
      </c>
      <c r="BA257" s="1758"/>
      <c r="BB257" s="1758" t="s">
        <v>775</v>
      </c>
    </row>
    <row r="258" spans="40:54" ht="12" customHeight="1">
      <c r="AN258" t="str">
        <f t="shared" si="6"/>
        <v>41140881881639169</v>
      </c>
      <c r="AO258" t="str">
        <f t="shared" si="7"/>
        <v>4114088105534600</v>
      </c>
      <c r="AP258" s="1758" t="s">
        <v>774</v>
      </c>
      <c r="AQ258" s="1759">
        <v>4114088</v>
      </c>
      <c r="AR258" s="1758"/>
      <c r="AS258" s="1758">
        <v>40040</v>
      </c>
      <c r="AT258" s="1759">
        <v>40040</v>
      </c>
      <c r="AU258" s="1758">
        <v>1881639169</v>
      </c>
      <c r="AV258" s="1758">
        <v>1881639169</v>
      </c>
      <c r="AW258" s="1758">
        <v>105534600</v>
      </c>
      <c r="AX258" s="1758"/>
      <c r="AY258" s="1758"/>
      <c r="AZ258" s="1758"/>
      <c r="BA258" s="1758"/>
      <c r="BB258" s="1758" t="s">
        <v>775</v>
      </c>
    </row>
    <row r="259" spans="40:54" ht="12" customHeight="1">
      <c r="AN259" t="str">
        <f t="shared" si="6"/>
        <v>41140961235174517</v>
      </c>
      <c r="AO259" t="str">
        <f t="shared" si="7"/>
        <v>4114096105534300</v>
      </c>
      <c r="AP259" s="1758" t="s">
        <v>774</v>
      </c>
      <c r="AQ259" s="1759">
        <v>4114096</v>
      </c>
      <c r="AR259" s="1758"/>
      <c r="AS259" s="1758">
        <v>39930</v>
      </c>
      <c r="AT259" s="1759">
        <v>39930</v>
      </c>
      <c r="AU259" s="1758">
        <v>1235174517</v>
      </c>
      <c r="AV259" s="1758">
        <v>1235174517</v>
      </c>
      <c r="AW259" s="1758">
        <v>105534300</v>
      </c>
      <c r="AX259" s="1758"/>
      <c r="AY259" s="1758"/>
      <c r="AZ259" s="1758"/>
      <c r="BA259" s="1758"/>
      <c r="BB259" s="1758" t="s">
        <v>775</v>
      </c>
    </row>
    <row r="260" spans="40:54" ht="12" customHeight="1">
      <c r="AN260" t="str">
        <f t="shared" si="6"/>
        <v>41141041659317196</v>
      </c>
      <c r="AO260" t="str">
        <f t="shared" si="7"/>
        <v>4114104105534500</v>
      </c>
      <c r="AP260" s="1758" t="s">
        <v>774</v>
      </c>
      <c r="AQ260" s="1759">
        <v>4114104</v>
      </c>
      <c r="AR260" s="1758"/>
      <c r="AS260" s="1758">
        <v>31570</v>
      </c>
      <c r="AT260" s="1759">
        <v>31570</v>
      </c>
      <c r="AU260" s="1758">
        <v>1659317196</v>
      </c>
      <c r="AV260" s="1758">
        <v>1659317196</v>
      </c>
      <c r="AW260" s="1758">
        <v>105534500</v>
      </c>
      <c r="AX260" s="1758"/>
      <c r="AY260" s="1758"/>
      <c r="AZ260" s="1758"/>
      <c r="BA260" s="1758"/>
      <c r="BB260" s="1758" t="s">
        <v>775</v>
      </c>
    </row>
    <row r="261" spans="40:54" ht="12" customHeight="1">
      <c r="AN261" t="str">
        <f aca="true" t="shared" si="8" ref="AN261:AN324">AQ261&amp;AU261</f>
        <v>41141121467497511</v>
      </c>
      <c r="AO261" t="str">
        <f aca="true" t="shared" si="9" ref="AO261:AO324">AQ261&amp;AW261</f>
        <v>4114112105534400</v>
      </c>
      <c r="AP261" s="1758" t="s">
        <v>774</v>
      </c>
      <c r="AQ261" s="1759">
        <v>4114112</v>
      </c>
      <c r="AR261" s="1758"/>
      <c r="AS261" s="1758">
        <v>29010</v>
      </c>
      <c r="AT261" s="1759">
        <v>29010</v>
      </c>
      <c r="AU261" s="1758">
        <v>1467497511</v>
      </c>
      <c r="AV261" s="1758">
        <v>1467497511</v>
      </c>
      <c r="AW261" s="1758">
        <v>105534400</v>
      </c>
      <c r="AX261" s="1758"/>
      <c r="AY261" s="1758"/>
      <c r="AZ261" s="1758"/>
      <c r="BA261" s="1758"/>
      <c r="BB261" s="1758" t="s">
        <v>775</v>
      </c>
    </row>
    <row r="262" spans="40:54" ht="12" customHeight="1">
      <c r="AN262" t="str">
        <f t="shared" si="8"/>
        <v>41141531073781183</v>
      </c>
      <c r="AO262" t="str">
        <f t="shared" si="9"/>
        <v>4114153108515100</v>
      </c>
      <c r="AP262" s="1758" t="s">
        <v>774</v>
      </c>
      <c r="AQ262" s="1759">
        <v>4114153</v>
      </c>
      <c r="AR262" s="1758"/>
      <c r="AS262" s="1758">
        <v>9900</v>
      </c>
      <c r="AT262" s="1759">
        <v>9900</v>
      </c>
      <c r="AU262" s="1758">
        <v>1073781183</v>
      </c>
      <c r="AV262" s="1758">
        <v>1073781183</v>
      </c>
      <c r="AW262" s="1758">
        <v>108515100</v>
      </c>
      <c r="AX262" s="1758"/>
      <c r="AY262" s="1758"/>
      <c r="AZ262" s="1758">
        <v>45</v>
      </c>
      <c r="BA262" s="1758"/>
      <c r="BB262" s="1758" t="s">
        <v>775</v>
      </c>
    </row>
    <row r="263" spans="40:54" ht="12" customHeight="1">
      <c r="AN263" t="str">
        <f t="shared" si="8"/>
        <v>41141791174774673</v>
      </c>
      <c r="AO263" t="str">
        <f t="shared" si="9"/>
        <v>4114179100769500</v>
      </c>
      <c r="AP263" s="1758" t="s">
        <v>851</v>
      </c>
      <c r="AQ263" s="1759">
        <v>4114179</v>
      </c>
      <c r="AR263" s="1758"/>
      <c r="AS263" s="1758">
        <v>23400</v>
      </c>
      <c r="AT263" s="1759">
        <v>23400</v>
      </c>
      <c r="AU263" s="1758">
        <v>1174774673</v>
      </c>
      <c r="AV263" s="1758">
        <v>1174774673</v>
      </c>
      <c r="AW263" s="1758">
        <v>100769500</v>
      </c>
      <c r="AX263" s="1758"/>
      <c r="AY263" s="1758"/>
      <c r="AZ263" s="1758"/>
      <c r="BA263" s="1758"/>
      <c r="BB263" s="1758" t="s">
        <v>775</v>
      </c>
    </row>
    <row r="264" spans="40:54" ht="12" customHeight="1">
      <c r="AN264" t="str">
        <f t="shared" si="8"/>
        <v>41141871750534939</v>
      </c>
      <c r="AO264" t="str">
        <f t="shared" si="9"/>
        <v>4114187109259600</v>
      </c>
      <c r="AP264" s="1758" t="s">
        <v>851</v>
      </c>
      <c r="AQ264" s="1759">
        <v>4114187</v>
      </c>
      <c r="AR264" s="1758"/>
      <c r="AS264" s="1758">
        <v>20900</v>
      </c>
      <c r="AT264" s="1759">
        <v>20900</v>
      </c>
      <c r="AU264" s="1758">
        <v>1750534939</v>
      </c>
      <c r="AV264" s="1758">
        <v>1750534939</v>
      </c>
      <c r="AW264" s="1758">
        <v>109259600</v>
      </c>
      <c r="AX264" s="1758"/>
      <c r="AY264" s="1758"/>
      <c r="AZ264" s="1758"/>
      <c r="BA264" s="1758"/>
      <c r="BB264" s="1758" t="s">
        <v>775</v>
      </c>
    </row>
    <row r="265" spans="40:54" ht="12" customHeight="1">
      <c r="AN265" t="str">
        <f t="shared" si="8"/>
        <v>41141951831342294</v>
      </c>
      <c r="AO265" t="str">
        <f t="shared" si="9"/>
        <v>4114195109292600</v>
      </c>
      <c r="AP265" s="1758" t="s">
        <v>851</v>
      </c>
      <c r="AQ265" s="1759">
        <v>4114195</v>
      </c>
      <c r="AR265" s="1758"/>
      <c r="AS265" s="1758">
        <v>19100</v>
      </c>
      <c r="AT265" s="1759">
        <v>19100</v>
      </c>
      <c r="AU265" s="1758">
        <v>1831342294</v>
      </c>
      <c r="AV265" s="1758">
        <v>1831342294</v>
      </c>
      <c r="AW265" s="1758">
        <v>109292600</v>
      </c>
      <c r="AX265" s="1758"/>
      <c r="AY265" s="1758"/>
      <c r="AZ265" s="1758"/>
      <c r="BA265" s="1758"/>
      <c r="BB265" s="1758" t="s">
        <v>775</v>
      </c>
    </row>
    <row r="266" spans="40:54" ht="12" customHeight="1">
      <c r="AN266" t="str">
        <f t="shared" si="8"/>
        <v>41142291396783809</v>
      </c>
      <c r="AO266" t="str">
        <f t="shared" si="9"/>
        <v>4114229100942900</v>
      </c>
      <c r="AP266" s="1758" t="s">
        <v>788</v>
      </c>
      <c r="AQ266" s="1759">
        <v>4114229</v>
      </c>
      <c r="AR266" s="1758"/>
      <c r="AS266" s="1758">
        <v>3500</v>
      </c>
      <c r="AT266" s="1759">
        <v>3500</v>
      </c>
      <c r="AU266" s="1758">
        <v>1396783809</v>
      </c>
      <c r="AV266" s="1758">
        <v>1396783809</v>
      </c>
      <c r="AW266" s="1758">
        <v>100942900</v>
      </c>
      <c r="AX266" s="1758"/>
      <c r="AY266" s="1758"/>
      <c r="AZ266" s="1758"/>
      <c r="BA266" s="1758"/>
      <c r="BB266" s="1758" t="s">
        <v>775</v>
      </c>
    </row>
    <row r="267" spans="40:54" ht="12" customHeight="1">
      <c r="AN267" t="str">
        <f t="shared" si="8"/>
        <v>41142371093813214</v>
      </c>
      <c r="AO267" t="str">
        <f t="shared" si="9"/>
        <v>4114237200574600</v>
      </c>
      <c r="AP267" s="1758" t="s">
        <v>788</v>
      </c>
      <c r="AQ267" s="1759">
        <v>4114237</v>
      </c>
      <c r="AR267" s="1758"/>
      <c r="AS267" s="1758">
        <v>33700</v>
      </c>
      <c r="AT267" s="1759">
        <v>33700</v>
      </c>
      <c r="AU267" s="1758">
        <v>1093813214</v>
      </c>
      <c r="AV267" s="1758">
        <v>1093813214</v>
      </c>
      <c r="AW267" s="1758">
        <v>200574600</v>
      </c>
      <c r="AX267" s="1758"/>
      <c r="AY267" s="1758"/>
      <c r="AZ267" s="1758"/>
      <c r="BA267" s="1758"/>
      <c r="BB267" s="1758" t="s">
        <v>775</v>
      </c>
    </row>
    <row r="268" spans="40:54" ht="12" customHeight="1">
      <c r="AN268" t="str">
        <f t="shared" si="8"/>
        <v>41142451316045537</v>
      </c>
      <c r="AO268" t="str">
        <f t="shared" si="9"/>
        <v>4114245200574300</v>
      </c>
      <c r="AP268" s="1758" t="s">
        <v>788</v>
      </c>
      <c r="AQ268" s="1759">
        <v>4114245</v>
      </c>
      <c r="AR268" s="1758" t="s">
        <v>987</v>
      </c>
      <c r="AS268" s="1758">
        <v>24600</v>
      </c>
      <c r="AT268" s="1759">
        <v>24600</v>
      </c>
      <c r="AU268" s="1758">
        <v>1316045537</v>
      </c>
      <c r="AV268" s="1758">
        <v>1316045537</v>
      </c>
      <c r="AW268" s="1758">
        <v>200574300</v>
      </c>
      <c r="AX268" s="1758"/>
      <c r="AY268" s="1758"/>
      <c r="AZ268" s="1758"/>
      <c r="BA268" s="1758"/>
      <c r="BB268" s="1758" t="s">
        <v>775</v>
      </c>
    </row>
    <row r="269" spans="40:54" ht="12" customHeight="1">
      <c r="AN269" t="str">
        <f t="shared" si="8"/>
        <v>41142521043257421</v>
      </c>
      <c r="AO269" t="str">
        <f t="shared" si="9"/>
        <v>4114252100103400</v>
      </c>
      <c r="AP269" s="1758" t="s">
        <v>788</v>
      </c>
      <c r="AQ269" s="1759">
        <v>4114252</v>
      </c>
      <c r="AR269" s="1758"/>
      <c r="AS269" s="1758">
        <v>40920</v>
      </c>
      <c r="AT269" s="1759">
        <v>40920</v>
      </c>
      <c r="AU269" s="1758">
        <v>1043257421</v>
      </c>
      <c r="AV269" s="1758">
        <v>1043257421</v>
      </c>
      <c r="AW269" s="1758">
        <v>100103400</v>
      </c>
      <c r="AX269" s="1758"/>
      <c r="AY269" s="1758"/>
      <c r="AZ269" s="1758"/>
      <c r="BA269" s="1758"/>
      <c r="BB269" s="1758" t="s">
        <v>775</v>
      </c>
    </row>
    <row r="270" spans="40:54" ht="12" customHeight="1">
      <c r="AN270" t="str">
        <f t="shared" si="8"/>
        <v>41143021063407393</v>
      </c>
      <c r="AO270" t="str">
        <f t="shared" si="9"/>
        <v>4114302100143600</v>
      </c>
      <c r="AP270" s="1758" t="s">
        <v>940</v>
      </c>
      <c r="AQ270" s="1759">
        <v>4114302</v>
      </c>
      <c r="AR270" s="1758"/>
      <c r="AS270" s="1758">
        <v>2300</v>
      </c>
      <c r="AT270" s="1759">
        <v>2300</v>
      </c>
      <c r="AU270" s="1758">
        <v>1063407393</v>
      </c>
      <c r="AV270" s="1758">
        <v>1063407393</v>
      </c>
      <c r="AW270" s="1758">
        <v>100143600</v>
      </c>
      <c r="AX270" s="1758"/>
      <c r="AY270" s="1758"/>
      <c r="AZ270" s="1758"/>
      <c r="BA270" s="1758"/>
      <c r="BB270" s="1758" t="s">
        <v>775</v>
      </c>
    </row>
    <row r="271" spans="40:54" ht="12" customHeight="1">
      <c r="AN271" t="str">
        <f t="shared" si="8"/>
        <v>41143101225136385</v>
      </c>
      <c r="AO271" t="str">
        <f t="shared" si="9"/>
        <v>4114310200574100</v>
      </c>
      <c r="AP271" s="1758" t="s">
        <v>788</v>
      </c>
      <c r="AQ271" s="1759">
        <v>4114310</v>
      </c>
      <c r="AR271" s="1758"/>
      <c r="AS271" s="1758">
        <v>20600</v>
      </c>
      <c r="AT271" s="1759">
        <v>20600</v>
      </c>
      <c r="AU271" s="1758">
        <v>1225136385</v>
      </c>
      <c r="AV271" s="1758">
        <v>1225136385</v>
      </c>
      <c r="AW271" s="1758">
        <v>200574100</v>
      </c>
      <c r="AX271" s="1758"/>
      <c r="AY271" s="1758"/>
      <c r="AZ271" s="1758"/>
      <c r="BA271" s="1758"/>
      <c r="BB271" s="1758" t="s">
        <v>775</v>
      </c>
    </row>
    <row r="272" spans="40:54" ht="12" customHeight="1">
      <c r="AN272" t="str">
        <f t="shared" si="8"/>
        <v>41143281669419271</v>
      </c>
      <c r="AO272" t="str">
        <f t="shared" si="9"/>
        <v>4114328200574400</v>
      </c>
      <c r="AP272" s="1758" t="s">
        <v>788</v>
      </c>
      <c r="AQ272" s="1759">
        <v>4114328</v>
      </c>
      <c r="AR272" s="1758" t="s">
        <v>987</v>
      </c>
      <c r="AS272" s="1758">
        <v>40640</v>
      </c>
      <c r="AT272" s="1759">
        <v>40640</v>
      </c>
      <c r="AU272" s="1758">
        <v>1669419271</v>
      </c>
      <c r="AV272" s="1758">
        <v>1669419271</v>
      </c>
      <c r="AW272" s="1758">
        <v>200574400</v>
      </c>
      <c r="AX272" s="1758"/>
      <c r="AY272" s="1758"/>
      <c r="AZ272" s="1758"/>
      <c r="BA272" s="1758"/>
      <c r="BB272" s="1758" t="s">
        <v>775</v>
      </c>
    </row>
    <row r="273" spans="40:56" ht="12" customHeight="1">
      <c r="AN273" t="str">
        <f t="shared" si="8"/>
        <v>41862011851386270</v>
      </c>
      <c r="AO273" t="str">
        <f t="shared" si="9"/>
        <v>4186201102060200</v>
      </c>
      <c r="AP273" s="1758" t="s">
        <v>774</v>
      </c>
      <c r="AQ273" s="1759">
        <v>4186201</v>
      </c>
      <c r="AR273" s="1758" t="s">
        <v>775</v>
      </c>
      <c r="AS273" s="1758">
        <v>4800</v>
      </c>
      <c r="AT273" s="1759">
        <v>4800</v>
      </c>
      <c r="AU273" s="1758">
        <v>1851386270</v>
      </c>
      <c r="AV273" s="1758">
        <v>1851386270</v>
      </c>
      <c r="AW273" s="1758">
        <v>102060200</v>
      </c>
      <c r="AX273" s="1758" t="s">
        <v>775</v>
      </c>
      <c r="AY273" s="1758" t="s">
        <v>775</v>
      </c>
      <c r="AZ273" s="1758" t="s">
        <v>775</v>
      </c>
      <c r="BA273" s="1758" t="s">
        <v>775</v>
      </c>
      <c r="BB273" s="1758" t="s">
        <v>775</v>
      </c>
      <c r="BC273" t="s">
        <v>775</v>
      </c>
      <c r="BD273" t="s">
        <v>775</v>
      </c>
    </row>
    <row r="274" spans="40:54" ht="12" customHeight="1">
      <c r="AN274" t="str">
        <f t="shared" si="8"/>
        <v>41143361356383202</v>
      </c>
      <c r="AO274" t="str">
        <f t="shared" si="9"/>
        <v>4114336100847100</v>
      </c>
      <c r="AP274" s="1758" t="s">
        <v>788</v>
      </c>
      <c r="AQ274" s="1759">
        <v>4114336</v>
      </c>
      <c r="AR274" s="1758"/>
      <c r="AS274" s="1758">
        <v>40710</v>
      </c>
      <c r="AT274" s="1759">
        <v>40710</v>
      </c>
      <c r="AU274" s="1758">
        <v>1356383202</v>
      </c>
      <c r="AV274" s="1758">
        <v>1356383202</v>
      </c>
      <c r="AW274" s="1758">
        <v>100847100</v>
      </c>
      <c r="AX274" s="1758"/>
      <c r="AY274" s="1758"/>
      <c r="AZ274" s="1758"/>
      <c r="BA274" s="1758"/>
      <c r="BB274" s="1758" t="s">
        <v>775</v>
      </c>
    </row>
    <row r="275" spans="40:54" ht="12" customHeight="1">
      <c r="AN275" t="str">
        <f t="shared" si="8"/>
        <v>41143441699760025</v>
      </c>
      <c r="AO275" t="str">
        <f t="shared" si="9"/>
        <v>4114344101659700</v>
      </c>
      <c r="AP275" s="1758" t="s">
        <v>873</v>
      </c>
      <c r="AQ275" s="1759">
        <v>4114344</v>
      </c>
      <c r="AR275" s="1758"/>
      <c r="AS275" s="1758">
        <v>40960</v>
      </c>
      <c r="AT275" s="1759">
        <v>40960</v>
      </c>
      <c r="AU275" s="1758">
        <v>1699760025</v>
      </c>
      <c r="AV275" s="1758">
        <v>1699760025</v>
      </c>
      <c r="AW275" s="1758">
        <v>101659700</v>
      </c>
      <c r="AX275" s="1758"/>
      <c r="AY275" s="1758"/>
      <c r="AZ275" s="1758"/>
      <c r="BA275" s="1758"/>
      <c r="BB275" s="1758" t="s">
        <v>775</v>
      </c>
    </row>
    <row r="276" spans="40:54" ht="12" customHeight="1">
      <c r="AN276" t="str">
        <f t="shared" si="8"/>
        <v>41143771093763393</v>
      </c>
      <c r="AO276" t="str">
        <f t="shared" si="9"/>
        <v>4114377201572100</v>
      </c>
      <c r="AP276" s="1758" t="s">
        <v>788</v>
      </c>
      <c r="AQ276" s="1759">
        <v>4114377</v>
      </c>
      <c r="AR276" s="1758"/>
      <c r="AS276" s="1758">
        <v>13100</v>
      </c>
      <c r="AT276" s="1759">
        <v>13100</v>
      </c>
      <c r="AU276" s="1758">
        <v>1093763393</v>
      </c>
      <c r="AV276" s="1758">
        <v>1093763393</v>
      </c>
      <c r="AW276" s="1758">
        <v>201572100</v>
      </c>
      <c r="AX276" s="1758"/>
      <c r="AY276" s="1758"/>
      <c r="AZ276" s="1758"/>
      <c r="BA276" s="1758">
        <v>50</v>
      </c>
      <c r="BB276" s="1758" t="s">
        <v>775</v>
      </c>
    </row>
    <row r="277" spans="40:54" ht="12" customHeight="1">
      <c r="AN277" t="str">
        <f t="shared" si="8"/>
        <v>41143931568780120</v>
      </c>
      <c r="AO277" t="str">
        <f t="shared" si="9"/>
        <v>4114393200786100</v>
      </c>
      <c r="AP277" s="1758" t="s">
        <v>940</v>
      </c>
      <c r="AQ277" s="1759">
        <v>4114393</v>
      </c>
      <c r="AR277" s="1758"/>
      <c r="AS277" s="1758">
        <v>12100</v>
      </c>
      <c r="AT277" s="1759">
        <v>12100</v>
      </c>
      <c r="AU277" s="1758">
        <v>1568780120</v>
      </c>
      <c r="AV277" s="1758">
        <v>1568780120</v>
      </c>
      <c r="AW277" s="1758">
        <v>200786100</v>
      </c>
      <c r="AX277" s="1758"/>
      <c r="AY277" s="1758"/>
      <c r="AZ277" s="1758"/>
      <c r="BA277" s="1758"/>
      <c r="BB277" s="1758" t="s">
        <v>775</v>
      </c>
    </row>
    <row r="278" spans="40:54" ht="12" customHeight="1">
      <c r="AN278" t="str">
        <f t="shared" si="8"/>
        <v>41144681609171081</v>
      </c>
      <c r="AO278" t="str">
        <f t="shared" si="9"/>
        <v>4114468201526200</v>
      </c>
      <c r="AP278" s="1758" t="s">
        <v>774</v>
      </c>
      <c r="AQ278" s="1759">
        <v>4114468</v>
      </c>
      <c r="AR278" s="1758"/>
      <c r="AS278" s="1758">
        <v>40990</v>
      </c>
      <c r="AT278" s="1759">
        <v>40990</v>
      </c>
      <c r="AU278" s="1758">
        <v>1609171081</v>
      </c>
      <c r="AV278" s="1758">
        <v>1609171081</v>
      </c>
      <c r="AW278" s="1758">
        <v>201526200</v>
      </c>
      <c r="AX278" s="1758"/>
      <c r="AY278" s="1758"/>
      <c r="AZ278" s="1758"/>
      <c r="BA278" s="1758"/>
      <c r="BB278" s="1758" t="s">
        <v>775</v>
      </c>
    </row>
    <row r="279" spans="40:54" ht="12" customHeight="1">
      <c r="AN279" t="str">
        <f t="shared" si="8"/>
        <v>41144841952671505</v>
      </c>
      <c r="AO279" t="str">
        <f t="shared" si="9"/>
        <v>4114484202234600</v>
      </c>
      <c r="AP279" s="1758" t="s">
        <v>774</v>
      </c>
      <c r="AQ279" s="1759">
        <v>4114484</v>
      </c>
      <c r="AR279" s="1758"/>
      <c r="AS279" s="1758">
        <v>41020</v>
      </c>
      <c r="AT279" s="1759">
        <v>41020</v>
      </c>
      <c r="AU279" s="1758">
        <v>1952671505</v>
      </c>
      <c r="AV279" s="1758">
        <v>1952671505</v>
      </c>
      <c r="AW279" s="1758">
        <v>202234600</v>
      </c>
      <c r="AX279" s="1758"/>
      <c r="AY279" s="1758"/>
      <c r="AZ279" s="1758"/>
      <c r="BA279" s="1758"/>
      <c r="BB279" s="1758" t="s">
        <v>775</v>
      </c>
    </row>
    <row r="280" spans="40:54" ht="12" customHeight="1">
      <c r="AN280" t="str">
        <f t="shared" si="8"/>
        <v>41145001770831687</v>
      </c>
      <c r="AO280" t="str">
        <f t="shared" si="9"/>
        <v>4114500202251900</v>
      </c>
      <c r="AP280" s="1758" t="s">
        <v>873</v>
      </c>
      <c r="AQ280" s="1759">
        <v>4114500</v>
      </c>
      <c r="AR280" s="1758"/>
      <c r="AS280" s="1758">
        <v>17600</v>
      </c>
      <c r="AT280" s="1759">
        <v>17600</v>
      </c>
      <c r="AU280" s="1758">
        <v>1770831687</v>
      </c>
      <c r="AV280" s="1758">
        <v>1770831687</v>
      </c>
      <c r="AW280" s="1758">
        <v>202251900</v>
      </c>
      <c r="AX280" s="1758"/>
      <c r="AY280" s="1758"/>
      <c r="AZ280" s="1758"/>
      <c r="BA280" s="1758"/>
      <c r="BB280" s="1758" t="s">
        <v>775</v>
      </c>
    </row>
    <row r="281" spans="40:54" ht="12" customHeight="1">
      <c r="AN281" t="str">
        <f t="shared" si="8"/>
        <v>41145191427306331</v>
      </c>
      <c r="AO281" t="str">
        <f t="shared" si="9"/>
        <v>4114519202252000</v>
      </c>
      <c r="AP281" s="1758" t="s">
        <v>873</v>
      </c>
      <c r="AQ281" s="1759">
        <v>4114519</v>
      </c>
      <c r="AR281" s="1758"/>
      <c r="AS281" s="1758">
        <v>33000</v>
      </c>
      <c r="AT281" s="1759">
        <v>33000</v>
      </c>
      <c r="AU281" s="1758">
        <v>1427306331</v>
      </c>
      <c r="AV281" s="1758">
        <v>1427306331</v>
      </c>
      <c r="AW281" s="1758">
        <v>202252000</v>
      </c>
      <c r="AX281" s="1758"/>
      <c r="AY281" s="1758"/>
      <c r="AZ281" s="1758"/>
      <c r="BA281" s="1758"/>
      <c r="BB281" s="1758" t="s">
        <v>775</v>
      </c>
    </row>
    <row r="282" spans="40:54" ht="12" customHeight="1">
      <c r="AN282" t="str">
        <f t="shared" si="8"/>
        <v>41145271477801322</v>
      </c>
      <c r="AO282" t="str">
        <f t="shared" si="9"/>
        <v>4114527202251500</v>
      </c>
      <c r="AP282" s="1758" t="s">
        <v>873</v>
      </c>
      <c r="AQ282" s="1759">
        <v>4114527</v>
      </c>
      <c r="AR282" s="1758"/>
      <c r="AS282" s="1758">
        <v>40910</v>
      </c>
      <c r="AT282" s="1759">
        <v>40910</v>
      </c>
      <c r="AU282" s="1758">
        <v>1477801322</v>
      </c>
      <c r="AV282" s="1758">
        <v>1477801322</v>
      </c>
      <c r="AW282" s="1758">
        <v>202251500</v>
      </c>
      <c r="AX282" s="1758"/>
      <c r="AY282" s="1758"/>
      <c r="AZ282" s="1758"/>
      <c r="BA282" s="1758"/>
      <c r="BB282" s="1758" t="s">
        <v>775</v>
      </c>
    </row>
    <row r="283" spans="40:56" ht="12" customHeight="1">
      <c r="AN283" t="str">
        <f t="shared" si="8"/>
        <v>41858071942289749</v>
      </c>
      <c r="AO283" t="str">
        <f t="shared" si="9"/>
        <v>4185807102280700</v>
      </c>
      <c r="AP283" s="1758" t="s">
        <v>774</v>
      </c>
      <c r="AQ283" s="1759">
        <v>4185807</v>
      </c>
      <c r="AR283" s="1758" t="s">
        <v>775</v>
      </c>
      <c r="AS283" s="1758">
        <v>1900</v>
      </c>
      <c r="AT283" s="1759">
        <v>1900</v>
      </c>
      <c r="AU283" s="1758">
        <v>1942289749</v>
      </c>
      <c r="AV283" s="1758">
        <v>1942289749</v>
      </c>
      <c r="AW283" s="1758">
        <v>102280700</v>
      </c>
      <c r="AX283" s="1758" t="s">
        <v>775</v>
      </c>
      <c r="AY283" s="1758" t="s">
        <v>775</v>
      </c>
      <c r="AZ283" s="1758" t="s">
        <v>775</v>
      </c>
      <c r="BA283" s="1758" t="s">
        <v>775</v>
      </c>
      <c r="BB283" s="1758" t="s">
        <v>775</v>
      </c>
      <c r="BC283" t="s">
        <v>775</v>
      </c>
      <c r="BD283" t="s">
        <v>775</v>
      </c>
    </row>
    <row r="284" spans="40:54" ht="12" customHeight="1">
      <c r="AN284" t="str">
        <f t="shared" si="8"/>
        <v>41145431295083145</v>
      </c>
      <c r="AO284" t="str">
        <f t="shared" si="9"/>
        <v>4114543202251600</v>
      </c>
      <c r="AP284" s="1758" t="s">
        <v>873</v>
      </c>
      <c r="AQ284" s="1759">
        <v>4114543</v>
      </c>
      <c r="AR284" s="1758"/>
      <c r="AS284" s="1758">
        <v>20000</v>
      </c>
      <c r="AT284" s="1759">
        <v>20000</v>
      </c>
      <c r="AU284" s="1758">
        <v>1295083145</v>
      </c>
      <c r="AV284" s="1758">
        <v>1295083145</v>
      </c>
      <c r="AW284" s="1758">
        <v>202251600</v>
      </c>
      <c r="AX284" s="1758"/>
      <c r="AY284" s="1758"/>
      <c r="AZ284" s="1758">
        <v>45</v>
      </c>
      <c r="BA284" s="1758"/>
      <c r="BB284" s="1758" t="s">
        <v>775</v>
      </c>
    </row>
    <row r="285" spans="40:54" ht="12" customHeight="1">
      <c r="AN285" t="str">
        <f t="shared" si="8"/>
        <v>41145511841548757</v>
      </c>
      <c r="AO285" t="str">
        <f t="shared" si="9"/>
        <v>4114551202251800</v>
      </c>
      <c r="AP285" s="1758" t="s">
        <v>873</v>
      </c>
      <c r="AQ285" s="1759">
        <v>4114551</v>
      </c>
      <c r="AR285" s="1758"/>
      <c r="AS285" s="1758">
        <v>4400</v>
      </c>
      <c r="AT285" s="1759">
        <v>4400</v>
      </c>
      <c r="AU285" s="1758">
        <v>1841548757</v>
      </c>
      <c r="AV285" s="1758">
        <v>1841548757</v>
      </c>
      <c r="AW285" s="1758">
        <v>202251800</v>
      </c>
      <c r="AX285" s="1758"/>
      <c r="AY285" s="1758"/>
      <c r="AZ285" s="1758"/>
      <c r="BA285" s="1758"/>
      <c r="BB285" s="1758" t="s">
        <v>775</v>
      </c>
    </row>
    <row r="286" spans="40:54" ht="12" customHeight="1">
      <c r="AN286" t="str">
        <f t="shared" si="8"/>
        <v>41145781699019711</v>
      </c>
      <c r="AO286" t="str">
        <f t="shared" si="9"/>
        <v>4114578202352000</v>
      </c>
      <c r="AP286" s="1758" t="s">
        <v>873</v>
      </c>
      <c r="AQ286" s="1759">
        <v>4114578</v>
      </c>
      <c r="AR286" s="1758"/>
      <c r="AS286" s="1758">
        <v>17000</v>
      </c>
      <c r="AT286" s="1759">
        <v>17000</v>
      </c>
      <c r="AU286" s="1758">
        <v>1699019711</v>
      </c>
      <c r="AV286" s="1758">
        <v>1699019711</v>
      </c>
      <c r="AW286" s="1758">
        <v>202352000</v>
      </c>
      <c r="AX286" s="1758"/>
      <c r="AY286" s="1758"/>
      <c r="AZ286" s="1758"/>
      <c r="BA286" s="1758"/>
      <c r="BB286" s="1758" t="s">
        <v>775</v>
      </c>
    </row>
    <row r="287" spans="40:54" ht="12" customHeight="1">
      <c r="AN287" t="str">
        <f t="shared" si="8"/>
        <v>41145861730423757</v>
      </c>
      <c r="AO287" t="str">
        <f t="shared" si="9"/>
        <v>4114586202352100</v>
      </c>
      <c r="AP287" s="1758" t="s">
        <v>873</v>
      </c>
      <c r="AQ287" s="1759">
        <v>4114586</v>
      </c>
      <c r="AR287" s="1758"/>
      <c r="AS287" s="1758">
        <v>3300</v>
      </c>
      <c r="AT287" s="1759">
        <v>3300</v>
      </c>
      <c r="AU287" s="1758">
        <v>1730423757</v>
      </c>
      <c r="AV287" s="1758">
        <v>1730423757</v>
      </c>
      <c r="AW287" s="1758">
        <v>202352100</v>
      </c>
      <c r="AX287" s="1758"/>
      <c r="AY287" s="1758"/>
      <c r="AZ287" s="1758"/>
      <c r="BA287" s="1758"/>
      <c r="BB287" s="1758" t="s">
        <v>775</v>
      </c>
    </row>
    <row r="288" spans="40:54" ht="12" customHeight="1">
      <c r="AN288" t="str">
        <f t="shared" si="8"/>
        <v>41145941982948535</v>
      </c>
      <c r="AO288" t="str">
        <f t="shared" si="9"/>
        <v>4114594202561700</v>
      </c>
      <c r="AP288" s="1758" t="s">
        <v>1014</v>
      </c>
      <c r="AQ288" s="1759">
        <v>4114594</v>
      </c>
      <c r="AR288" s="1758"/>
      <c r="AS288" s="1758">
        <v>23900</v>
      </c>
      <c r="AT288" s="1759">
        <v>23900</v>
      </c>
      <c r="AU288" s="1758">
        <v>1982948535</v>
      </c>
      <c r="AV288" s="1758">
        <v>1982948535</v>
      </c>
      <c r="AW288" s="1758">
        <v>202561700</v>
      </c>
      <c r="AX288" s="1758"/>
      <c r="AY288" s="1758"/>
      <c r="AZ288" s="1758">
        <v>45</v>
      </c>
      <c r="BA288" s="1758">
        <v>50</v>
      </c>
      <c r="BB288" s="1758" t="s">
        <v>775</v>
      </c>
    </row>
    <row r="289" spans="40:54" ht="12" customHeight="1">
      <c r="AN289" t="str">
        <f t="shared" si="8"/>
        <v>41146021700120359</v>
      </c>
      <c r="AO289" t="str">
        <f t="shared" si="9"/>
        <v>4114602202563400</v>
      </c>
      <c r="AP289" s="1758" t="s">
        <v>1014</v>
      </c>
      <c r="AQ289" s="1759">
        <v>4114602</v>
      </c>
      <c r="AR289" s="1758"/>
      <c r="AS289" s="1758">
        <v>19300</v>
      </c>
      <c r="AT289" s="1759">
        <v>19300</v>
      </c>
      <c r="AU289" s="1758">
        <v>1700120359</v>
      </c>
      <c r="AV289" s="1758">
        <v>1700120359</v>
      </c>
      <c r="AW289" s="1758">
        <v>202563400</v>
      </c>
      <c r="AX289" s="1758"/>
      <c r="AY289" s="1758"/>
      <c r="AZ289" s="1758"/>
      <c r="BA289" s="1758">
        <v>50</v>
      </c>
      <c r="BB289" s="1758" t="s">
        <v>775</v>
      </c>
    </row>
    <row r="290" spans="40:54" ht="12" customHeight="1">
      <c r="AN290" t="str">
        <f t="shared" si="8"/>
        <v>41146291306186622</v>
      </c>
      <c r="AO290" t="str">
        <f t="shared" si="9"/>
        <v>4114629203482000</v>
      </c>
      <c r="AP290" s="1758" t="s">
        <v>904</v>
      </c>
      <c r="AQ290" s="1759">
        <v>4114629</v>
      </c>
      <c r="AR290" s="1758"/>
      <c r="AS290" s="1758">
        <v>15100</v>
      </c>
      <c r="AT290" s="1759">
        <v>15100</v>
      </c>
      <c r="AU290" s="1758">
        <v>1306186622</v>
      </c>
      <c r="AV290" s="1758">
        <v>1306186622</v>
      </c>
      <c r="AW290" s="1758">
        <v>203482000</v>
      </c>
      <c r="AX290" s="1758"/>
      <c r="AY290" s="1758"/>
      <c r="AZ290" s="1758"/>
      <c r="BA290" s="1758"/>
      <c r="BB290" s="1758" t="s">
        <v>775</v>
      </c>
    </row>
    <row r="291" spans="40:54" ht="12" customHeight="1">
      <c r="AN291" t="str">
        <f t="shared" si="8"/>
        <v>41146371275978520</v>
      </c>
      <c r="AO291" t="str">
        <f t="shared" si="9"/>
        <v>4114637203482300</v>
      </c>
      <c r="AP291" s="1758" t="s">
        <v>904</v>
      </c>
      <c r="AQ291" s="1759">
        <v>4114637</v>
      </c>
      <c r="AR291" s="1758"/>
      <c r="AS291" s="1758">
        <v>12400</v>
      </c>
      <c r="AT291" s="1759">
        <v>12400</v>
      </c>
      <c r="AU291" s="1758">
        <v>1275978520</v>
      </c>
      <c r="AV291" s="1758">
        <v>1275978520</v>
      </c>
      <c r="AW291" s="1758">
        <v>203482300</v>
      </c>
      <c r="AX291" s="1758"/>
      <c r="AY291" s="1758"/>
      <c r="AZ291" s="1758"/>
      <c r="BA291" s="1758"/>
      <c r="BB291" s="1758" t="s">
        <v>775</v>
      </c>
    </row>
    <row r="292" spans="40:54" ht="12" customHeight="1">
      <c r="AN292" t="str">
        <f t="shared" si="8"/>
        <v>41146611972928901</v>
      </c>
      <c r="AO292" t="str">
        <f t="shared" si="9"/>
        <v>4114661203740200</v>
      </c>
      <c r="AP292" s="1758" t="s">
        <v>904</v>
      </c>
      <c r="AQ292" s="1759">
        <v>4114661</v>
      </c>
      <c r="AR292" s="1758"/>
      <c r="AS292" s="1758">
        <v>34100</v>
      </c>
      <c r="AT292" s="1759">
        <v>34100</v>
      </c>
      <c r="AU292" s="1758">
        <v>1972928901</v>
      </c>
      <c r="AV292" s="1758">
        <v>1972928901</v>
      </c>
      <c r="AW292" s="1758">
        <v>203740200</v>
      </c>
      <c r="AX292" s="1758"/>
      <c r="AY292" s="1758"/>
      <c r="AZ292" s="1758"/>
      <c r="BA292" s="1758"/>
      <c r="BB292" s="1758" t="s">
        <v>775</v>
      </c>
    </row>
    <row r="293" spans="40:54" ht="12" customHeight="1">
      <c r="AN293" t="str">
        <f t="shared" si="8"/>
        <v>41146701407271430</v>
      </c>
      <c r="AO293" t="str">
        <f t="shared" si="9"/>
        <v>4114670203651100</v>
      </c>
      <c r="AP293" s="1758" t="s">
        <v>904</v>
      </c>
      <c r="AQ293" s="1759">
        <v>4114670</v>
      </c>
      <c r="AR293" s="1758" t="s">
        <v>987</v>
      </c>
      <c r="AS293" s="1758">
        <v>35010</v>
      </c>
      <c r="AT293" s="1759">
        <v>35010</v>
      </c>
      <c r="AU293" s="1758">
        <v>1407271430</v>
      </c>
      <c r="AV293" s="1758">
        <v>1407271430</v>
      </c>
      <c r="AW293" s="1758">
        <v>203651100</v>
      </c>
      <c r="AX293" s="1758"/>
      <c r="AY293" s="1758"/>
      <c r="AZ293" s="1758">
        <v>45</v>
      </c>
      <c r="BA293" s="1758"/>
      <c r="BB293" s="1758" t="s">
        <v>775</v>
      </c>
    </row>
    <row r="294" spans="40:54" ht="12" customHeight="1">
      <c r="AN294" t="str">
        <f t="shared" si="8"/>
        <v>41146881881006633</v>
      </c>
      <c r="AO294" t="str">
        <f t="shared" si="9"/>
        <v>4114688203925100</v>
      </c>
      <c r="AP294" s="1758" t="s">
        <v>873</v>
      </c>
      <c r="AQ294" s="1759">
        <v>4114688</v>
      </c>
      <c r="AR294" s="1758"/>
      <c r="AS294" s="1758">
        <v>18300</v>
      </c>
      <c r="AT294" s="1759">
        <v>18300</v>
      </c>
      <c r="AU294" s="1758">
        <v>1881006633</v>
      </c>
      <c r="AV294" s="1758">
        <v>1881006633</v>
      </c>
      <c r="AW294" s="1758">
        <v>203925100</v>
      </c>
      <c r="AX294" s="1758"/>
      <c r="AY294" s="1758"/>
      <c r="AZ294" s="1758">
        <v>45</v>
      </c>
      <c r="BA294" s="1758"/>
      <c r="BB294" s="1758" t="s">
        <v>775</v>
      </c>
    </row>
    <row r="295" spans="40:54" ht="12" customHeight="1">
      <c r="AN295" t="str">
        <f t="shared" si="8"/>
        <v>41146961255743019</v>
      </c>
      <c r="AO295" t="str">
        <f t="shared" si="9"/>
        <v>4114696203834800</v>
      </c>
      <c r="AP295" s="1758" t="s">
        <v>873</v>
      </c>
      <c r="AQ295" s="1759">
        <v>4114696</v>
      </c>
      <c r="AR295" s="1758"/>
      <c r="AS295" s="1758">
        <v>1600</v>
      </c>
      <c r="AT295" s="1759">
        <v>1600</v>
      </c>
      <c r="AU295" s="1758">
        <v>1255743019</v>
      </c>
      <c r="AV295" s="1758">
        <v>1255743019</v>
      </c>
      <c r="AW295" s="1758">
        <v>203834800</v>
      </c>
      <c r="AX295" s="1758"/>
      <c r="AY295" s="1758"/>
      <c r="AZ295" s="1758"/>
      <c r="BA295" s="1758"/>
      <c r="BB295" s="1758" t="s">
        <v>775</v>
      </c>
    </row>
    <row r="296" spans="40:54" ht="12" customHeight="1">
      <c r="AN296" t="str">
        <f t="shared" si="8"/>
        <v>41147121376538637</v>
      </c>
      <c r="AO296" t="str">
        <f t="shared" si="9"/>
        <v>4114712203909100</v>
      </c>
      <c r="AP296" s="1758" t="s">
        <v>904</v>
      </c>
      <c r="AQ296" s="1759">
        <v>4114712</v>
      </c>
      <c r="AR296" s="1758"/>
      <c r="AS296" s="1758">
        <v>40170</v>
      </c>
      <c r="AT296" s="1759">
        <v>40170</v>
      </c>
      <c r="AU296" s="1758">
        <v>1376538637</v>
      </c>
      <c r="AV296" s="1758">
        <v>1376538637</v>
      </c>
      <c r="AW296" s="1758">
        <v>203909100</v>
      </c>
      <c r="AX296" s="1758"/>
      <c r="AY296" s="1758"/>
      <c r="AZ296" s="1758"/>
      <c r="BA296" s="1758"/>
      <c r="BB296" s="1758" t="s">
        <v>775</v>
      </c>
    </row>
    <row r="297" spans="40:56" ht="12" customHeight="1">
      <c r="AN297" t="str">
        <f t="shared" si="8"/>
        <v>41131141013965722</v>
      </c>
      <c r="AO297" t="str">
        <f t="shared" si="9"/>
        <v>4113114100042500</v>
      </c>
      <c r="AP297" s="1758" t="s">
        <v>774</v>
      </c>
      <c r="AQ297" s="1759">
        <v>4113114</v>
      </c>
      <c r="AR297" s="1758" t="s">
        <v>775</v>
      </c>
      <c r="AS297" s="1758">
        <v>17500</v>
      </c>
      <c r="AT297" s="1759">
        <v>17500</v>
      </c>
      <c r="AU297" s="1758">
        <v>1013965722</v>
      </c>
      <c r="AV297" s="1758">
        <v>1013965722</v>
      </c>
      <c r="AW297" s="1758">
        <v>100042500</v>
      </c>
      <c r="AX297" s="1758" t="s">
        <v>775</v>
      </c>
      <c r="AY297" s="1758" t="s">
        <v>775</v>
      </c>
      <c r="AZ297" s="1758" t="s">
        <v>775</v>
      </c>
      <c r="BA297" s="1758" t="s">
        <v>775</v>
      </c>
      <c r="BB297" s="1758" t="s">
        <v>775</v>
      </c>
      <c r="BC297" t="s">
        <v>775</v>
      </c>
      <c r="BD297" t="s">
        <v>775</v>
      </c>
    </row>
    <row r="298" spans="40:54" ht="12" customHeight="1">
      <c r="AN298" t="str">
        <f t="shared" si="8"/>
        <v>41147291336134741</v>
      </c>
      <c r="AO298" t="str">
        <f t="shared" si="9"/>
        <v>4114729203909700</v>
      </c>
      <c r="AP298" s="1758" t="s">
        <v>904</v>
      </c>
      <c r="AQ298" s="1759">
        <v>4114729</v>
      </c>
      <c r="AR298" s="1758"/>
      <c r="AS298" s="1758">
        <v>13800</v>
      </c>
      <c r="AT298" s="1759">
        <v>13800</v>
      </c>
      <c r="AU298" s="1758">
        <v>1336134741</v>
      </c>
      <c r="AV298" s="1758">
        <v>1336134741</v>
      </c>
      <c r="AW298" s="1758">
        <v>203909700</v>
      </c>
      <c r="AX298" s="1758"/>
      <c r="AY298" s="1758"/>
      <c r="AZ298" s="1758"/>
      <c r="BA298" s="1758">
        <v>50</v>
      </c>
      <c r="BB298" s="1758" t="s">
        <v>775</v>
      </c>
    </row>
    <row r="299" spans="40:54" ht="12" customHeight="1">
      <c r="AN299" t="str">
        <f t="shared" si="8"/>
        <v>41147371093700148</v>
      </c>
      <c r="AO299" t="str">
        <f t="shared" si="9"/>
        <v>4114737203909500</v>
      </c>
      <c r="AP299" s="1758" t="s">
        <v>904</v>
      </c>
      <c r="AQ299" s="1759">
        <v>4114737</v>
      </c>
      <c r="AR299" s="1758"/>
      <c r="AS299" s="1758">
        <v>12900</v>
      </c>
      <c r="AT299" s="1759">
        <v>12900</v>
      </c>
      <c r="AU299" s="1758">
        <v>1093700148</v>
      </c>
      <c r="AV299" s="1758">
        <v>1093700148</v>
      </c>
      <c r="AW299" s="1758">
        <v>203909500</v>
      </c>
      <c r="AX299" s="1758"/>
      <c r="AY299" s="1758"/>
      <c r="AZ299" s="1758"/>
      <c r="BA299" s="1758">
        <v>50</v>
      </c>
      <c r="BB299" s="1758" t="s">
        <v>775</v>
      </c>
    </row>
    <row r="300" spans="40:54" ht="12" customHeight="1">
      <c r="AN300" t="str">
        <f t="shared" si="8"/>
        <v>41147451740275957</v>
      </c>
      <c r="AO300" t="str">
        <f t="shared" si="9"/>
        <v>4114745203910000</v>
      </c>
      <c r="AP300" s="1758" t="s">
        <v>904</v>
      </c>
      <c r="AQ300" s="1759">
        <v>4114745</v>
      </c>
      <c r="AR300" s="1758"/>
      <c r="AS300" s="1758">
        <v>35050</v>
      </c>
      <c r="AT300" s="1759">
        <v>35050</v>
      </c>
      <c r="AU300" s="1758">
        <v>1740275957</v>
      </c>
      <c r="AV300" s="1758">
        <v>1740275957</v>
      </c>
      <c r="AW300" s="1758">
        <v>203910000</v>
      </c>
      <c r="AX300" s="1758"/>
      <c r="AY300" s="1758"/>
      <c r="AZ300" s="1758"/>
      <c r="BA300" s="1758">
        <v>50</v>
      </c>
      <c r="BB300" s="1758" t="s">
        <v>775</v>
      </c>
    </row>
    <row r="301" spans="40:54" ht="12" customHeight="1">
      <c r="AN301" t="str">
        <f t="shared" si="8"/>
        <v>41147611558360024</v>
      </c>
      <c r="AO301" t="str">
        <f t="shared" si="9"/>
        <v>4114761101320000</v>
      </c>
      <c r="AP301" s="1758" t="s">
        <v>904</v>
      </c>
      <c r="AQ301" s="1759">
        <v>4114761</v>
      </c>
      <c r="AR301" s="1758"/>
      <c r="AS301" s="1758">
        <v>10100</v>
      </c>
      <c r="AT301" s="1759">
        <v>10100</v>
      </c>
      <c r="AU301" s="1758">
        <v>1558360024</v>
      </c>
      <c r="AV301" s="1758">
        <v>1558360024</v>
      </c>
      <c r="AW301" s="1758">
        <v>101320000</v>
      </c>
      <c r="AX301" s="1758"/>
      <c r="AY301" s="1758"/>
      <c r="AZ301" s="1758"/>
      <c r="BA301" s="1758"/>
      <c r="BB301" s="1758" t="s">
        <v>775</v>
      </c>
    </row>
    <row r="302" spans="40:54" ht="12" customHeight="1">
      <c r="AN302" t="str">
        <f t="shared" si="8"/>
        <v>41147701902892615</v>
      </c>
      <c r="AO302" t="str">
        <f t="shared" si="9"/>
        <v>4114770102181600</v>
      </c>
      <c r="AP302" s="1758" t="s">
        <v>904</v>
      </c>
      <c r="AQ302" s="1759">
        <v>4114770</v>
      </c>
      <c r="AR302" s="1758"/>
      <c r="AS302" s="1758">
        <v>5600</v>
      </c>
      <c r="AT302" s="1759">
        <v>5600</v>
      </c>
      <c r="AU302" s="1758">
        <v>1902892615</v>
      </c>
      <c r="AV302" s="1758">
        <v>1902892615</v>
      </c>
      <c r="AW302" s="1758">
        <v>102181600</v>
      </c>
      <c r="AX302" s="1758"/>
      <c r="AY302" s="1758"/>
      <c r="AZ302" s="1758"/>
      <c r="BA302" s="1758"/>
      <c r="BB302" s="1758" t="s">
        <v>775</v>
      </c>
    </row>
    <row r="303" spans="40:54" ht="12" customHeight="1">
      <c r="AN303" t="str">
        <f t="shared" si="8"/>
        <v>41147881760439467</v>
      </c>
      <c r="AO303" t="str">
        <f t="shared" si="9"/>
        <v>4114788101830100</v>
      </c>
      <c r="AP303" s="1758" t="s">
        <v>904</v>
      </c>
      <c r="AQ303" s="1759">
        <v>4114788</v>
      </c>
      <c r="AR303" s="1758"/>
      <c r="AS303" s="1758">
        <v>7600</v>
      </c>
      <c r="AT303" s="1759">
        <v>7600</v>
      </c>
      <c r="AU303" s="1758">
        <v>1760439467</v>
      </c>
      <c r="AV303" s="1758">
        <v>1760439467</v>
      </c>
      <c r="AW303" s="1758">
        <v>101830100</v>
      </c>
      <c r="AX303" s="1758"/>
      <c r="AY303" s="1758"/>
      <c r="AZ303" s="1758"/>
      <c r="BA303" s="1758"/>
      <c r="BB303" s="1758" t="s">
        <v>775</v>
      </c>
    </row>
    <row r="304" spans="40:54" ht="12" customHeight="1">
      <c r="AN304" t="str">
        <f t="shared" si="8"/>
        <v>41147961306869722</v>
      </c>
      <c r="AO304" t="str">
        <f t="shared" si="9"/>
        <v>4114796203977400</v>
      </c>
      <c r="AP304" s="1758" t="s">
        <v>788</v>
      </c>
      <c r="AQ304" s="1759">
        <v>4114796</v>
      </c>
      <c r="AR304" s="1758"/>
      <c r="AS304" s="1758">
        <v>41030</v>
      </c>
      <c r="AT304" s="1759">
        <v>41030</v>
      </c>
      <c r="AU304" s="1758">
        <v>1306869722</v>
      </c>
      <c r="AV304" s="1758">
        <v>1306869722</v>
      </c>
      <c r="AW304" s="1758">
        <v>203977400</v>
      </c>
      <c r="AX304" s="1758"/>
      <c r="AY304" s="1758"/>
      <c r="AZ304" s="1758"/>
      <c r="BA304" s="1758"/>
      <c r="BB304" s="1758" t="s">
        <v>775</v>
      </c>
    </row>
    <row r="305" spans="40:54" ht="12" customHeight="1">
      <c r="AN305" t="str">
        <f t="shared" si="8"/>
        <v>41150111679722805</v>
      </c>
      <c r="AO305" t="str">
        <f t="shared" si="9"/>
        <v>4115011204135200</v>
      </c>
      <c r="AP305" s="1758" t="s">
        <v>788</v>
      </c>
      <c r="AQ305" s="1759">
        <v>4115011</v>
      </c>
      <c r="AR305" s="1758"/>
      <c r="AS305" s="1758">
        <v>40950</v>
      </c>
      <c r="AT305" s="1759">
        <v>40950</v>
      </c>
      <c r="AU305" s="1758">
        <v>1679722805</v>
      </c>
      <c r="AV305" s="1758">
        <v>1679722805</v>
      </c>
      <c r="AW305" s="1758">
        <v>204135200</v>
      </c>
      <c r="AX305" s="1758"/>
      <c r="AY305" s="1758"/>
      <c r="AZ305" s="1758"/>
      <c r="BA305" s="1758"/>
      <c r="BB305" s="1758" t="s">
        <v>775</v>
      </c>
    </row>
    <row r="306" spans="40:54" ht="12" customHeight="1">
      <c r="AN306" t="str">
        <f t="shared" si="8"/>
        <v>41150211477950954</v>
      </c>
      <c r="AO306" t="str">
        <f t="shared" si="9"/>
        <v>4115021204219800</v>
      </c>
      <c r="AP306" s="1758" t="s">
        <v>904</v>
      </c>
      <c r="AQ306" s="1759">
        <v>4115021</v>
      </c>
      <c r="AR306" s="1758"/>
      <c r="AS306" s="1758">
        <v>40670</v>
      </c>
      <c r="AT306" s="1759">
        <v>40670</v>
      </c>
      <c r="AU306" s="1758">
        <v>1477950954</v>
      </c>
      <c r="AV306" s="1758">
        <v>1477950954</v>
      </c>
      <c r="AW306" s="1758">
        <v>204219800</v>
      </c>
      <c r="AX306" s="1758"/>
      <c r="AY306" s="1758"/>
      <c r="AZ306" s="1758"/>
      <c r="BA306" s="1758"/>
      <c r="BB306" s="1758" t="s">
        <v>775</v>
      </c>
    </row>
    <row r="307" spans="40:54" ht="12" customHeight="1">
      <c r="AN307" t="str">
        <f t="shared" si="8"/>
        <v>41150311710933999</v>
      </c>
      <c r="AO307" t="str">
        <f t="shared" si="9"/>
        <v>4115031101714800</v>
      </c>
      <c r="AP307" s="1758" t="s">
        <v>1014</v>
      </c>
      <c r="AQ307" s="1759">
        <v>4115031</v>
      </c>
      <c r="AR307" s="1758"/>
      <c r="AS307" s="1758">
        <v>25060</v>
      </c>
      <c r="AT307" s="1759">
        <v>25060</v>
      </c>
      <c r="AU307" s="1758">
        <v>1710933999</v>
      </c>
      <c r="AV307" s="1758">
        <v>1710933999</v>
      </c>
      <c r="AW307" s="1758">
        <v>101714800</v>
      </c>
      <c r="AX307" s="1758"/>
      <c r="AY307" s="1758"/>
      <c r="AZ307" s="1758"/>
      <c r="BA307" s="1758"/>
      <c r="BB307" s="1758" t="s">
        <v>775</v>
      </c>
    </row>
    <row r="308" spans="40:54" ht="12" customHeight="1">
      <c r="AN308" t="str">
        <f t="shared" si="8"/>
        <v>41150411982651758</v>
      </c>
      <c r="AO308" t="str">
        <f t="shared" si="9"/>
        <v>4115041102369100</v>
      </c>
      <c r="AP308" s="1758" t="s">
        <v>1014</v>
      </c>
      <c r="AQ308" s="1759">
        <v>4115041</v>
      </c>
      <c r="AR308" s="1758"/>
      <c r="AS308" s="1758">
        <v>39950</v>
      </c>
      <c r="AT308" s="1759">
        <v>39950</v>
      </c>
      <c r="AU308" s="1758">
        <v>1982651758</v>
      </c>
      <c r="AV308" s="1758">
        <v>1982651758</v>
      </c>
      <c r="AW308" s="1758">
        <v>102369100</v>
      </c>
      <c r="AX308" s="1758"/>
      <c r="AY308" s="1758"/>
      <c r="AZ308" s="1758"/>
      <c r="BA308" s="1758"/>
      <c r="BB308" s="1758" t="s">
        <v>775</v>
      </c>
    </row>
    <row r="309" spans="40:54" ht="12" customHeight="1">
      <c r="AN309" t="str">
        <f t="shared" si="8"/>
        <v>41150511851348460</v>
      </c>
      <c r="AO309" t="str">
        <f t="shared" si="9"/>
        <v>4115051102054500</v>
      </c>
      <c r="AP309" s="1758" t="s">
        <v>1014</v>
      </c>
      <c r="AQ309" s="1759">
        <v>4115051</v>
      </c>
      <c r="AR309" s="1758" t="s">
        <v>987</v>
      </c>
      <c r="AS309" s="1758">
        <v>40490</v>
      </c>
      <c r="AT309" s="1759">
        <v>40490</v>
      </c>
      <c r="AU309" s="1758">
        <v>1851348460</v>
      </c>
      <c r="AV309" s="1758">
        <v>1851348460</v>
      </c>
      <c r="AW309" s="1758">
        <v>102054500</v>
      </c>
      <c r="AX309" s="1758"/>
      <c r="AY309" s="1758"/>
      <c r="AZ309" s="1758">
        <v>45</v>
      </c>
      <c r="BA309" s="1758"/>
      <c r="BB309" s="1758" t="s">
        <v>775</v>
      </c>
    </row>
    <row r="310" spans="40:54" ht="12" customHeight="1">
      <c r="AN310" t="str">
        <f t="shared" si="8"/>
        <v>41150611568402295</v>
      </c>
      <c r="AO310" t="str">
        <f t="shared" si="9"/>
        <v>4115061101335500</v>
      </c>
      <c r="AP310" s="1758" t="s">
        <v>1014</v>
      </c>
      <c r="AQ310" s="1759">
        <v>4115061</v>
      </c>
      <c r="AR310" s="1758"/>
      <c r="AS310" s="1758">
        <v>10800</v>
      </c>
      <c r="AT310" s="1759">
        <v>10800</v>
      </c>
      <c r="AU310" s="1758">
        <v>1568402295</v>
      </c>
      <c r="AV310" s="1758">
        <v>1568402295</v>
      </c>
      <c r="AW310" s="1758">
        <v>101335500</v>
      </c>
      <c r="AX310" s="1758"/>
      <c r="AY310" s="1758"/>
      <c r="AZ310" s="1758"/>
      <c r="BA310" s="1758"/>
      <c r="BB310" s="1758" t="s">
        <v>775</v>
      </c>
    </row>
    <row r="311" spans="40:54" ht="12" customHeight="1">
      <c r="AN311" t="str">
        <f t="shared" si="8"/>
        <v>41150811194120816</v>
      </c>
      <c r="AO311" t="str">
        <f t="shared" si="9"/>
        <v>4115081204353300</v>
      </c>
      <c r="AP311" s="1758" t="s">
        <v>1014</v>
      </c>
      <c r="AQ311" s="1759">
        <v>4115081</v>
      </c>
      <c r="AR311" s="1758"/>
      <c r="AS311" s="1758">
        <v>40470</v>
      </c>
      <c r="AT311" s="1759">
        <v>40470</v>
      </c>
      <c r="AU311" s="1758">
        <v>1194120816</v>
      </c>
      <c r="AV311" s="1758">
        <v>1194120816</v>
      </c>
      <c r="AW311" s="1758">
        <v>204353300</v>
      </c>
      <c r="AX311" s="1758"/>
      <c r="AY311" s="1758"/>
      <c r="AZ311" s="1758"/>
      <c r="BA311" s="1758"/>
      <c r="BB311" s="1758" t="s">
        <v>775</v>
      </c>
    </row>
    <row r="312" spans="40:54" ht="12" customHeight="1">
      <c r="AN312" t="str">
        <f t="shared" si="8"/>
        <v>41151011558752543</v>
      </c>
      <c r="AO312" t="str">
        <f t="shared" si="9"/>
        <v>4115101204414400</v>
      </c>
      <c r="AP312" s="1758" t="s">
        <v>904</v>
      </c>
      <c r="AQ312" s="1759">
        <v>4115101</v>
      </c>
      <c r="AR312" s="1758"/>
      <c r="AS312" s="1758">
        <v>23300</v>
      </c>
      <c r="AT312" s="1759">
        <v>23300</v>
      </c>
      <c r="AU312" s="1758">
        <v>1558752543</v>
      </c>
      <c r="AV312" s="1758">
        <v>1558752543</v>
      </c>
      <c r="AW312" s="1758">
        <v>204414400</v>
      </c>
      <c r="AX312" s="1758"/>
      <c r="AY312" s="1758"/>
      <c r="AZ312" s="1758"/>
      <c r="BA312" s="1758"/>
      <c r="BB312" s="1758" t="s">
        <v>775</v>
      </c>
    </row>
    <row r="313" spans="40:54" ht="12" customHeight="1">
      <c r="AN313" t="str">
        <f t="shared" si="8"/>
        <v>41151111740671734</v>
      </c>
      <c r="AO313" t="str">
        <f t="shared" si="9"/>
        <v>4115111204568000</v>
      </c>
      <c r="AP313" s="1758" t="s">
        <v>904</v>
      </c>
      <c r="AQ313" s="1759">
        <v>4115111</v>
      </c>
      <c r="AR313" s="1758"/>
      <c r="AS313" s="1758">
        <v>17800</v>
      </c>
      <c r="AT313" s="1759">
        <v>17800</v>
      </c>
      <c r="AU313" s="1758">
        <v>1740671734</v>
      </c>
      <c r="AV313" s="1758">
        <v>1740671734</v>
      </c>
      <c r="AW313" s="1758">
        <v>204568000</v>
      </c>
      <c r="AX313" s="1758"/>
      <c r="AY313" s="1758"/>
      <c r="AZ313" s="1758"/>
      <c r="BA313" s="1758">
        <v>50</v>
      </c>
      <c r="BB313" s="1758" t="s">
        <v>775</v>
      </c>
    </row>
    <row r="314" spans="40:54" ht="12" customHeight="1">
      <c r="AN314" t="str">
        <f t="shared" si="8"/>
        <v>41152411497147763</v>
      </c>
      <c r="AO314" t="str">
        <f t="shared" si="9"/>
        <v>4115241204752400</v>
      </c>
      <c r="AP314" s="1758" t="s">
        <v>788</v>
      </c>
      <c r="AQ314" s="1759">
        <v>4115241</v>
      </c>
      <c r="AR314" s="1758"/>
      <c r="AS314" s="1758">
        <v>35330</v>
      </c>
      <c r="AT314" s="1759">
        <v>35330</v>
      </c>
      <c r="AU314" s="1758">
        <v>1497147763</v>
      </c>
      <c r="AV314" s="1758">
        <v>1497147763</v>
      </c>
      <c r="AW314" s="1758">
        <v>204752400</v>
      </c>
      <c r="AX314" s="1758"/>
      <c r="AY314" s="1758"/>
      <c r="AZ314" s="1758"/>
      <c r="BA314" s="1758"/>
      <c r="BB314" s="1758" t="s">
        <v>775</v>
      </c>
    </row>
    <row r="315" spans="40:56" ht="12" customHeight="1">
      <c r="AN315" t="str">
        <f t="shared" si="8"/>
        <v>41152511063808574</v>
      </c>
      <c r="AO315" t="str">
        <f t="shared" si="9"/>
        <v>4115251204775000</v>
      </c>
      <c r="AP315" s="1758" t="s">
        <v>774</v>
      </c>
      <c r="AQ315" s="1759">
        <v>4115251</v>
      </c>
      <c r="AR315" s="1758"/>
      <c r="AS315" s="1758">
        <v>19400</v>
      </c>
      <c r="AT315" s="1759">
        <v>19400</v>
      </c>
      <c r="AU315" s="1758">
        <v>1063808574</v>
      </c>
      <c r="AV315" s="1758">
        <v>1063808574</v>
      </c>
      <c r="AW315" s="1758">
        <v>204775000</v>
      </c>
      <c r="AX315" s="1758"/>
      <c r="AY315" s="1758"/>
      <c r="AZ315" s="1758"/>
      <c r="BA315" s="1758">
        <v>50</v>
      </c>
      <c r="BB315" s="1758" t="s">
        <v>775</v>
      </c>
      <c r="BC315">
        <v>62</v>
      </c>
      <c r="BD315">
        <v>63</v>
      </c>
    </row>
    <row r="316" spans="40:54" ht="12" customHeight="1">
      <c r="AN316" t="str">
        <f t="shared" si="8"/>
        <v>41152611447647482</v>
      </c>
      <c r="AO316" t="str">
        <f t="shared" si="9"/>
        <v>4115261204863700</v>
      </c>
      <c r="AP316" s="1758" t="s">
        <v>788</v>
      </c>
      <c r="AQ316" s="1759">
        <v>4115261</v>
      </c>
      <c r="AR316" s="1758"/>
      <c r="AS316" s="1758">
        <v>13300</v>
      </c>
      <c r="AT316" s="1759">
        <v>13300</v>
      </c>
      <c r="AU316" s="1758">
        <v>1447647482</v>
      </c>
      <c r="AV316" s="1758">
        <v>1447647482</v>
      </c>
      <c r="AW316" s="1758">
        <v>204863700</v>
      </c>
      <c r="AX316" s="1758"/>
      <c r="AY316" s="1758"/>
      <c r="AZ316" s="1758"/>
      <c r="BA316" s="1758"/>
      <c r="BB316" s="1758" t="s">
        <v>775</v>
      </c>
    </row>
    <row r="317" spans="40:54" ht="12" customHeight="1">
      <c r="AN317" t="str">
        <f t="shared" si="8"/>
        <v>41152811316125321</v>
      </c>
      <c r="AO317" t="str">
        <f t="shared" si="9"/>
        <v>4115281108514800</v>
      </c>
      <c r="AP317" s="1758" t="s">
        <v>873</v>
      </c>
      <c r="AQ317" s="1759">
        <v>4115281</v>
      </c>
      <c r="AR317" s="1758"/>
      <c r="AS317" s="1758">
        <v>41111</v>
      </c>
      <c r="AT317" s="1759">
        <v>41111</v>
      </c>
      <c r="AU317" s="1758">
        <v>1316125321</v>
      </c>
      <c r="AV317" s="1758">
        <v>1316125321</v>
      </c>
      <c r="AW317" s="1758">
        <v>108514800</v>
      </c>
      <c r="AX317" s="1758"/>
      <c r="AY317" s="1758"/>
      <c r="AZ317" s="1758"/>
      <c r="BA317" s="1758"/>
      <c r="BB317" s="1758" t="s">
        <v>775</v>
      </c>
    </row>
    <row r="318" spans="40:54" ht="12" customHeight="1">
      <c r="AN318" t="str">
        <f t="shared" si="8"/>
        <v>41152911790160604</v>
      </c>
      <c r="AO318" t="str">
        <f t="shared" si="9"/>
        <v>4115291205000900</v>
      </c>
      <c r="AP318" s="1758" t="s">
        <v>1014</v>
      </c>
      <c r="AQ318" s="1759">
        <v>4115291</v>
      </c>
      <c r="AR318" s="1758"/>
      <c r="AS318" s="1758">
        <v>40370</v>
      </c>
      <c r="AT318" s="1759">
        <v>40370</v>
      </c>
      <c r="AU318" s="1758">
        <v>1790160604</v>
      </c>
      <c r="AV318" s="1758">
        <v>1790160604</v>
      </c>
      <c r="AW318" s="1758">
        <v>205000900</v>
      </c>
      <c r="AX318" s="1758"/>
      <c r="AY318" s="1758"/>
      <c r="AZ318" s="1758"/>
      <c r="BA318" s="1758"/>
      <c r="BB318" s="1758" t="s">
        <v>775</v>
      </c>
    </row>
    <row r="319" spans="40:54" ht="12" customHeight="1">
      <c r="AN319" t="str">
        <f t="shared" si="8"/>
        <v>41153011386028397</v>
      </c>
      <c r="AO319" t="str">
        <f t="shared" si="9"/>
        <v>4115301205001000</v>
      </c>
      <c r="AP319" s="1758" t="s">
        <v>1014</v>
      </c>
      <c r="AQ319" s="1759">
        <v>4115301</v>
      </c>
      <c r="AR319" s="1758"/>
      <c r="AS319" s="1758">
        <v>40590</v>
      </c>
      <c r="AT319" s="1759">
        <v>40590</v>
      </c>
      <c r="AU319" s="1758">
        <v>1386028397</v>
      </c>
      <c r="AV319" s="1758">
        <v>1386028397</v>
      </c>
      <c r="AW319" s="1758">
        <v>205001000</v>
      </c>
      <c r="AX319" s="1758"/>
      <c r="AY319" s="1758"/>
      <c r="AZ319" s="1758"/>
      <c r="BA319" s="1758"/>
      <c r="BB319" s="1758" t="s">
        <v>775</v>
      </c>
    </row>
    <row r="320" spans="40:54" ht="12" customHeight="1">
      <c r="AN320" t="str">
        <f t="shared" si="8"/>
        <v>41153111649654617</v>
      </c>
      <c r="AO320" t="str">
        <f t="shared" si="9"/>
        <v>4115311205000800</v>
      </c>
      <c r="AP320" s="1758" t="s">
        <v>1014</v>
      </c>
      <c r="AQ320" s="1759">
        <v>4115311</v>
      </c>
      <c r="AR320" s="1758"/>
      <c r="AS320" s="1758">
        <v>17200</v>
      </c>
      <c r="AT320" s="1759">
        <v>17200</v>
      </c>
      <c r="AU320" s="1758">
        <v>1649654617</v>
      </c>
      <c r="AV320" s="1758">
        <v>1649654617</v>
      </c>
      <c r="AW320" s="1758">
        <v>205000800</v>
      </c>
      <c r="AX320" s="1758"/>
      <c r="AY320" s="1758"/>
      <c r="AZ320" s="1758"/>
      <c r="BA320" s="1758"/>
      <c r="BB320" s="1758" t="s">
        <v>775</v>
      </c>
    </row>
    <row r="321" spans="40:54" ht="12" customHeight="1">
      <c r="AN321" t="str">
        <f t="shared" si="8"/>
        <v>41153411881060507</v>
      </c>
      <c r="AO321" t="str">
        <f t="shared" si="9"/>
        <v>4115341205017200</v>
      </c>
      <c r="AP321" s="1758" t="s">
        <v>851</v>
      </c>
      <c r="AQ321" s="1759">
        <v>4115341</v>
      </c>
      <c r="AR321" s="1758"/>
      <c r="AS321" s="1758">
        <v>8500</v>
      </c>
      <c r="AT321" s="1759">
        <v>8500</v>
      </c>
      <c r="AU321" s="1758">
        <v>1881060507</v>
      </c>
      <c r="AV321" s="1758">
        <v>1881060507</v>
      </c>
      <c r="AW321" s="1758">
        <v>205017200</v>
      </c>
      <c r="AX321" s="1758"/>
      <c r="AY321" s="1758"/>
      <c r="AZ321" s="1758"/>
      <c r="BA321" s="1758"/>
      <c r="BB321" s="1758" t="s">
        <v>775</v>
      </c>
    </row>
    <row r="322" spans="40:54" ht="12" customHeight="1">
      <c r="AN322" t="str">
        <f t="shared" si="8"/>
        <v>41153611720060908</v>
      </c>
      <c r="AO322" t="str">
        <f t="shared" si="9"/>
        <v>4115361205964700</v>
      </c>
      <c r="AP322" s="1758" t="s">
        <v>788</v>
      </c>
      <c r="AQ322" s="1759">
        <v>4115361</v>
      </c>
      <c r="AR322" s="1758"/>
      <c r="AS322" s="1758">
        <v>16800</v>
      </c>
      <c r="AT322" s="1759">
        <v>16800</v>
      </c>
      <c r="AU322" s="1758">
        <v>1720060908</v>
      </c>
      <c r="AV322" s="1758">
        <v>1720060908</v>
      </c>
      <c r="AW322" s="1758">
        <v>205964700</v>
      </c>
      <c r="AX322" s="1758"/>
      <c r="AY322" s="1758"/>
      <c r="AZ322" s="1758"/>
      <c r="BA322" s="1758"/>
      <c r="BB322" s="1758" t="s">
        <v>775</v>
      </c>
    </row>
    <row r="323" spans="40:54" ht="12" customHeight="1">
      <c r="AN323" t="str">
        <f t="shared" si="8"/>
        <v>41153711144210162</v>
      </c>
      <c r="AO323" t="str">
        <f t="shared" si="9"/>
        <v>4115371205965100</v>
      </c>
      <c r="AP323" s="1758" t="s">
        <v>788</v>
      </c>
      <c r="AQ323" s="1759">
        <v>4115371</v>
      </c>
      <c r="AR323" s="1758"/>
      <c r="AS323" s="1758">
        <v>40660</v>
      </c>
      <c r="AT323" s="1759">
        <v>40660</v>
      </c>
      <c r="AU323" s="1758">
        <v>1144210162</v>
      </c>
      <c r="AV323" s="1758">
        <v>1144210162</v>
      </c>
      <c r="AW323" s="1758">
        <v>205965100</v>
      </c>
      <c r="AX323" s="1758"/>
      <c r="AY323" s="1758"/>
      <c r="AZ323" s="1758"/>
      <c r="BA323" s="1758"/>
      <c r="BB323" s="1758" t="s">
        <v>775</v>
      </c>
    </row>
    <row r="324" spans="40:54" ht="12" customHeight="1">
      <c r="AN324" t="str">
        <f t="shared" si="8"/>
        <v>41153911215966312</v>
      </c>
      <c r="AO324" t="str">
        <f t="shared" si="9"/>
        <v>4115391206332500</v>
      </c>
      <c r="AP324" s="1758" t="s">
        <v>788</v>
      </c>
      <c r="AQ324" s="1759">
        <v>4115391</v>
      </c>
      <c r="AR324" s="1758"/>
      <c r="AS324" s="1758">
        <v>15700</v>
      </c>
      <c r="AT324" s="1759">
        <v>15700</v>
      </c>
      <c r="AU324" s="1758">
        <v>1215966312</v>
      </c>
      <c r="AV324" s="1758">
        <v>1215966312</v>
      </c>
      <c r="AW324" s="1758">
        <v>206332500</v>
      </c>
      <c r="AX324" s="1758"/>
      <c r="AY324" s="1758"/>
      <c r="AZ324" s="1758">
        <v>45</v>
      </c>
      <c r="BA324" s="1758"/>
      <c r="BB324" s="1758" t="s">
        <v>775</v>
      </c>
    </row>
    <row r="325" spans="40:54" ht="12" customHeight="1">
      <c r="AN325" t="str">
        <f aca="true" t="shared" si="10" ref="AN325:AN388">AQ325&amp;AU325</f>
        <v>41154011891140703</v>
      </c>
      <c r="AO325" t="str">
        <f aca="true" t="shared" si="11" ref="AO325:AO388">AQ325&amp;AW325</f>
        <v>4115401206706800</v>
      </c>
      <c r="AP325" s="1758" t="s">
        <v>940</v>
      </c>
      <c r="AQ325" s="1759">
        <v>4115401</v>
      </c>
      <c r="AR325" s="1758"/>
      <c r="AS325" s="1758">
        <v>11300</v>
      </c>
      <c r="AT325" s="1759">
        <v>11300</v>
      </c>
      <c r="AU325" s="1758">
        <v>1891140703</v>
      </c>
      <c r="AV325" s="1758">
        <v>1891140703</v>
      </c>
      <c r="AW325" s="1758">
        <v>206706800</v>
      </c>
      <c r="AX325" s="1758"/>
      <c r="AY325" s="1758"/>
      <c r="AZ325" s="1758"/>
      <c r="BA325" s="1758"/>
      <c r="BB325" s="1758" t="s">
        <v>775</v>
      </c>
    </row>
    <row r="326" spans="40:54" ht="12" customHeight="1">
      <c r="AN326" t="str">
        <f t="shared" si="10"/>
        <v>41154111942653027</v>
      </c>
      <c r="AO326" t="str">
        <f t="shared" si="11"/>
        <v>4115411207443500</v>
      </c>
      <c r="AP326" s="1758" t="s">
        <v>873</v>
      </c>
      <c r="AQ326" s="1759">
        <v>4115411</v>
      </c>
      <c r="AR326" s="1758"/>
      <c r="AS326" s="1758">
        <v>15500</v>
      </c>
      <c r="AT326" s="1759">
        <v>15500</v>
      </c>
      <c r="AU326" s="1758">
        <v>1942653027</v>
      </c>
      <c r="AV326" s="1758">
        <v>1942653027</v>
      </c>
      <c r="AW326" s="1758">
        <v>207443500</v>
      </c>
      <c r="AX326" s="1758"/>
      <c r="AY326" s="1758"/>
      <c r="AZ326" s="1758"/>
      <c r="BA326" s="1758"/>
      <c r="BB326" s="1758" t="s">
        <v>775</v>
      </c>
    </row>
    <row r="327" spans="40:54" ht="12" customHeight="1">
      <c r="AN327" t="str">
        <f t="shared" si="10"/>
        <v>41154211508904467</v>
      </c>
      <c r="AO327" t="str">
        <f t="shared" si="11"/>
        <v>4115421207995400</v>
      </c>
      <c r="AP327" s="1758" t="s">
        <v>1014</v>
      </c>
      <c r="AQ327" s="1759">
        <v>4115421</v>
      </c>
      <c r="AR327" s="1758"/>
      <c r="AS327" s="1758">
        <v>41114</v>
      </c>
      <c r="AT327" s="1759">
        <v>41114</v>
      </c>
      <c r="AU327" s="1758">
        <v>1508904467</v>
      </c>
      <c r="AV327" s="1758">
        <v>1508904467</v>
      </c>
      <c r="AW327" s="1758">
        <v>207995400</v>
      </c>
      <c r="AX327" s="1758"/>
      <c r="AY327" s="1758"/>
      <c r="AZ327" s="1758"/>
      <c r="BA327" s="1758"/>
      <c r="BB327" s="1758" t="s">
        <v>775</v>
      </c>
    </row>
    <row r="328" spans="40:54" ht="12" customHeight="1">
      <c r="AN328" t="str">
        <f t="shared" si="10"/>
        <v>41154311336686914</v>
      </c>
      <c r="AO328" t="str">
        <f t="shared" si="11"/>
        <v>4115431207786900</v>
      </c>
      <c r="AP328" s="1758" t="s">
        <v>774</v>
      </c>
      <c r="AQ328" s="1759">
        <v>4115431</v>
      </c>
      <c r="AR328" s="1758"/>
      <c r="AS328" s="1758">
        <v>40360</v>
      </c>
      <c r="AT328" s="1759">
        <v>40360</v>
      </c>
      <c r="AU328" s="1758">
        <v>1336686914</v>
      </c>
      <c r="AV328" s="1758">
        <v>1336686914</v>
      </c>
      <c r="AW328" s="1758">
        <v>207786900</v>
      </c>
      <c r="AX328" s="1758"/>
      <c r="AY328" s="1758"/>
      <c r="AZ328" s="1758"/>
      <c r="BA328" s="1758"/>
      <c r="BB328" s="1758" t="s">
        <v>775</v>
      </c>
    </row>
    <row r="329" spans="40:54" ht="12" customHeight="1">
      <c r="AN329" t="str">
        <f t="shared" si="10"/>
        <v>41154411467909465</v>
      </c>
      <c r="AO329" t="str">
        <f t="shared" si="11"/>
        <v>4115441207922800</v>
      </c>
      <c r="AP329" s="1758" t="s">
        <v>904</v>
      </c>
      <c r="AQ329" s="1759">
        <v>4115441</v>
      </c>
      <c r="AR329" s="1758"/>
      <c r="AS329" s="1758">
        <v>32400</v>
      </c>
      <c r="AT329" s="1759">
        <v>32400</v>
      </c>
      <c r="AU329" s="1758">
        <v>1467909465</v>
      </c>
      <c r="AV329" s="1758">
        <v>1467909465</v>
      </c>
      <c r="AW329" s="1758">
        <v>207922800</v>
      </c>
      <c r="AX329" s="1758"/>
      <c r="AY329" s="1758"/>
      <c r="AZ329" s="1758">
        <v>45</v>
      </c>
      <c r="BA329" s="1758"/>
      <c r="BB329" s="1758" t="s">
        <v>775</v>
      </c>
    </row>
    <row r="330" spans="40:54" ht="12" customHeight="1">
      <c r="AN330" t="str">
        <f t="shared" si="10"/>
        <v>41154511922548825</v>
      </c>
      <c r="AO330" t="str">
        <f t="shared" si="11"/>
        <v>4115451208101400</v>
      </c>
      <c r="AP330" s="1758" t="s">
        <v>851</v>
      </c>
      <c r="AQ330" s="1759">
        <v>4115451</v>
      </c>
      <c r="AR330" s="1758"/>
      <c r="AS330" s="1758">
        <v>9000</v>
      </c>
      <c r="AT330" s="1759">
        <v>9000</v>
      </c>
      <c r="AU330" s="1758">
        <v>1922548825</v>
      </c>
      <c r="AV330" s="1758">
        <v>1922548825</v>
      </c>
      <c r="AW330" s="1758">
        <v>208101400</v>
      </c>
      <c r="AX330" s="1758"/>
      <c r="AY330" s="1758"/>
      <c r="AZ330" s="1758"/>
      <c r="BA330" s="1758"/>
      <c r="BB330" s="1758" t="s">
        <v>775</v>
      </c>
    </row>
    <row r="331" spans="40:54" ht="12" customHeight="1">
      <c r="AN331" t="str">
        <f t="shared" si="10"/>
        <v>41154711861912644</v>
      </c>
      <c r="AO331" t="str">
        <f t="shared" si="11"/>
        <v>4115471208284400</v>
      </c>
      <c r="AP331" s="1758" t="s">
        <v>774</v>
      </c>
      <c r="AQ331" s="1759">
        <v>4115471</v>
      </c>
      <c r="AR331" s="1758"/>
      <c r="AS331" s="1758">
        <v>33600</v>
      </c>
      <c r="AT331" s="1759">
        <v>33600</v>
      </c>
      <c r="AU331" s="1758">
        <v>1861912644</v>
      </c>
      <c r="AV331" s="1758">
        <v>1861912644</v>
      </c>
      <c r="AW331" s="1758">
        <v>208284400</v>
      </c>
      <c r="AX331" s="1758"/>
      <c r="AY331" s="1758"/>
      <c r="AZ331" s="1758"/>
      <c r="BA331" s="1758">
        <v>50</v>
      </c>
      <c r="BB331" s="1758" t="s">
        <v>775</v>
      </c>
    </row>
    <row r="332" spans="40:54" ht="12" customHeight="1">
      <c r="AN332" t="str">
        <f t="shared" si="10"/>
        <v>41155011477087443</v>
      </c>
      <c r="AO332" t="str">
        <f t="shared" si="11"/>
        <v>4115501208496600</v>
      </c>
      <c r="AP332" s="1758" t="s">
        <v>788</v>
      </c>
      <c r="AQ332" s="1759">
        <v>4115501</v>
      </c>
      <c r="AR332" s="1758"/>
      <c r="AS332" s="1758">
        <v>2400</v>
      </c>
      <c r="AT332" s="1759">
        <v>2400</v>
      </c>
      <c r="AU332" s="1758">
        <v>1477087443</v>
      </c>
      <c r="AV332" s="1758">
        <v>1477087443</v>
      </c>
      <c r="AW332" s="1758">
        <v>208496600</v>
      </c>
      <c r="AX332" s="1758"/>
      <c r="AY332" s="1758"/>
      <c r="AZ332" s="1758"/>
      <c r="BA332" s="1758">
        <v>50</v>
      </c>
      <c r="BB332" s="1758" t="s">
        <v>775</v>
      </c>
    </row>
    <row r="333" spans="40:54" ht="12" customHeight="1">
      <c r="AN333" t="str">
        <f t="shared" si="10"/>
        <v>41155111225547912</v>
      </c>
      <c r="AO333" t="str">
        <f t="shared" si="11"/>
        <v>4115511208557700</v>
      </c>
      <c r="AP333" s="1758" t="s">
        <v>940</v>
      </c>
      <c r="AQ333" s="1759">
        <v>4115511</v>
      </c>
      <c r="AR333" s="1758"/>
      <c r="AS333" s="1758">
        <v>41112</v>
      </c>
      <c r="AT333" s="1759">
        <v>41112</v>
      </c>
      <c r="AU333" s="1758">
        <v>1225547912</v>
      </c>
      <c r="AV333" s="1758">
        <v>1225547912</v>
      </c>
      <c r="AW333" s="1758">
        <v>208557700</v>
      </c>
      <c r="AX333" s="1758"/>
      <c r="AY333" s="1758"/>
      <c r="AZ333" s="1758"/>
      <c r="BA333" s="1758"/>
      <c r="BB333" s="1758" t="s">
        <v>775</v>
      </c>
    </row>
    <row r="334" spans="40:54" ht="12" customHeight="1">
      <c r="AN334" t="str">
        <f t="shared" si="10"/>
        <v>41155211790218386</v>
      </c>
      <c r="AO334" t="str">
        <f t="shared" si="11"/>
        <v>4115521208804200</v>
      </c>
      <c r="AP334" s="1758" t="s">
        <v>873</v>
      </c>
      <c r="AQ334" s="1759">
        <v>4115521</v>
      </c>
      <c r="AR334" s="1758"/>
      <c r="AS334" s="1758">
        <v>24900</v>
      </c>
      <c r="AT334" s="1759">
        <v>24900</v>
      </c>
      <c r="AU334" s="1758">
        <v>1790218386</v>
      </c>
      <c r="AV334" s="1758">
        <v>1790218386</v>
      </c>
      <c r="AW334" s="1758">
        <v>208804200</v>
      </c>
      <c r="AX334" s="1758"/>
      <c r="AY334" s="1758"/>
      <c r="AZ334" s="1758"/>
      <c r="BA334" s="1758"/>
      <c r="BB334" s="1758" t="s">
        <v>775</v>
      </c>
    </row>
    <row r="335" spans="40:54" ht="12" customHeight="1">
      <c r="AN335" t="str">
        <f t="shared" si="10"/>
        <v>41155311265950422</v>
      </c>
      <c r="AO335" t="str">
        <f t="shared" si="11"/>
        <v>4115531208881300</v>
      </c>
      <c r="AP335" s="1758" t="s">
        <v>904</v>
      </c>
      <c r="AQ335" s="1759">
        <v>4115531</v>
      </c>
      <c r="AR335" s="1758"/>
      <c r="AS335" s="1758">
        <v>40250</v>
      </c>
      <c r="AT335" s="1759">
        <v>40250</v>
      </c>
      <c r="AU335" s="1758">
        <v>1265950422</v>
      </c>
      <c r="AV335" s="1758">
        <v>1265950422</v>
      </c>
      <c r="AW335" s="1758">
        <v>208881300</v>
      </c>
      <c r="AX335" s="1758"/>
      <c r="AY335" s="1758"/>
      <c r="AZ335" s="1758"/>
      <c r="BA335" s="1758"/>
      <c r="BB335" s="1758" t="s">
        <v>775</v>
      </c>
    </row>
    <row r="336" spans="40:54" ht="12" customHeight="1">
      <c r="AN336" t="str">
        <f t="shared" si="10"/>
        <v>41155411508303793</v>
      </c>
      <c r="AO336" t="str">
        <f t="shared" si="11"/>
        <v>4115541208887100</v>
      </c>
      <c r="AP336" s="1758" t="s">
        <v>904</v>
      </c>
      <c r="AQ336" s="1759">
        <v>4115541</v>
      </c>
      <c r="AR336" s="1758"/>
      <c r="AS336" s="1758">
        <v>12700</v>
      </c>
      <c r="AT336" s="1759">
        <v>12700</v>
      </c>
      <c r="AU336" s="1758">
        <v>1508303793</v>
      </c>
      <c r="AV336" s="1758">
        <v>1508303793</v>
      </c>
      <c r="AW336" s="1758">
        <v>208887100</v>
      </c>
      <c r="AX336" s="1758"/>
      <c r="AY336" s="1758"/>
      <c r="AZ336" s="1758">
        <v>45</v>
      </c>
      <c r="BA336" s="1758"/>
      <c r="BB336" s="1758" t="s">
        <v>775</v>
      </c>
    </row>
    <row r="337" spans="40:54" ht="12" customHeight="1">
      <c r="AN337" t="str">
        <f t="shared" si="10"/>
        <v>41155611104330349</v>
      </c>
      <c r="AO337" t="str">
        <f t="shared" si="11"/>
        <v>4115561209215700</v>
      </c>
      <c r="AP337" s="1758" t="s">
        <v>940</v>
      </c>
      <c r="AQ337" s="1759">
        <v>4115561</v>
      </c>
      <c r="AR337" s="1758"/>
      <c r="AS337" s="1758">
        <v>16006</v>
      </c>
      <c r="AT337" s="1759">
        <v>16006</v>
      </c>
      <c r="AU337" s="1758">
        <v>1104330349</v>
      </c>
      <c r="AV337" s="1758">
        <v>1104330349</v>
      </c>
      <c r="AW337" s="1758">
        <v>209215700</v>
      </c>
      <c r="AX337" s="1758"/>
      <c r="AY337" s="1758"/>
      <c r="AZ337" s="1758"/>
      <c r="BA337" s="1758"/>
      <c r="BB337" s="1758" t="s">
        <v>775</v>
      </c>
    </row>
    <row r="338" spans="40:56" ht="12" customHeight="1">
      <c r="AN338" t="str">
        <f t="shared" si="10"/>
        <v>41151911083002141</v>
      </c>
      <c r="AO338" t="str">
        <f t="shared" si="11"/>
        <v>4115191204749700</v>
      </c>
      <c r="AP338" s="1758" t="s">
        <v>774</v>
      </c>
      <c r="AQ338" s="1759">
        <v>4115191</v>
      </c>
      <c r="AR338" s="1758" t="s">
        <v>987</v>
      </c>
      <c r="AS338" s="1758">
        <v>12500</v>
      </c>
      <c r="AT338" s="1759">
        <v>12500</v>
      </c>
      <c r="AU338" s="1758">
        <v>1083002141</v>
      </c>
      <c r="AV338" s="1758">
        <v>1083002141</v>
      </c>
      <c r="AW338" s="1758">
        <v>204749700</v>
      </c>
      <c r="AX338" s="1758" t="s">
        <v>775</v>
      </c>
      <c r="AY338" s="1758" t="s">
        <v>775</v>
      </c>
      <c r="AZ338" s="1758">
        <v>45</v>
      </c>
      <c r="BA338" s="1758" t="s">
        <v>775</v>
      </c>
      <c r="BB338" s="1758" t="s">
        <v>775</v>
      </c>
      <c r="BC338" t="s">
        <v>775</v>
      </c>
      <c r="BD338" t="s">
        <v>775</v>
      </c>
    </row>
    <row r="339" spans="40:54" ht="12" customHeight="1">
      <c r="AN339" t="str">
        <f t="shared" si="10"/>
        <v>41155711295249431</v>
      </c>
      <c r="AO339" t="str">
        <f t="shared" si="11"/>
        <v>4115571209216500</v>
      </c>
      <c r="AP339" s="1758" t="s">
        <v>940</v>
      </c>
      <c r="AQ339" s="1759">
        <v>4115571</v>
      </c>
      <c r="AR339" s="1758"/>
      <c r="AS339" s="1758">
        <v>21300</v>
      </c>
      <c r="AT339" s="1759">
        <v>21300</v>
      </c>
      <c r="AU339" s="1758">
        <v>1295249431</v>
      </c>
      <c r="AV339" s="1758">
        <v>1295249431</v>
      </c>
      <c r="AW339" s="1758">
        <v>209216500</v>
      </c>
      <c r="AX339" s="1758"/>
      <c r="AY339" s="1758"/>
      <c r="AZ339" s="1758">
        <v>45</v>
      </c>
      <c r="BA339" s="1758"/>
      <c r="BB339" s="1758" t="s">
        <v>775</v>
      </c>
    </row>
    <row r="340" spans="40:54" ht="12" customHeight="1">
      <c r="AN340" t="str">
        <f t="shared" si="10"/>
        <v>41155811508379827</v>
      </c>
      <c r="AO340" t="str">
        <f t="shared" si="11"/>
        <v>4115581209216400</v>
      </c>
      <c r="AP340" s="1758" t="s">
        <v>940</v>
      </c>
      <c r="AQ340" s="1759">
        <v>4115581</v>
      </c>
      <c r="AR340" s="1758"/>
      <c r="AS340" s="1758">
        <v>13700</v>
      </c>
      <c r="AT340" s="1759">
        <v>13700</v>
      </c>
      <c r="AU340" s="1758">
        <v>1508379827</v>
      </c>
      <c r="AV340" s="1758">
        <v>1508379827</v>
      </c>
      <c r="AW340" s="1758">
        <v>209216400</v>
      </c>
      <c r="AX340" s="1758"/>
      <c r="AY340" s="1758"/>
      <c r="AZ340" s="1758"/>
      <c r="BA340" s="1758"/>
      <c r="BB340" s="1758" t="s">
        <v>775</v>
      </c>
    </row>
    <row r="341" spans="40:54" ht="12" customHeight="1">
      <c r="AN341" t="str">
        <f t="shared" si="10"/>
        <v>41155911134632961</v>
      </c>
      <c r="AO341" t="str">
        <f t="shared" si="11"/>
        <v>4115591209215500</v>
      </c>
      <c r="AP341" s="1758" t="s">
        <v>940</v>
      </c>
      <c r="AQ341" s="1759">
        <v>4115591</v>
      </c>
      <c r="AR341" s="1758"/>
      <c r="AS341" s="1758">
        <v>18200</v>
      </c>
      <c r="AT341" s="1759">
        <v>18200</v>
      </c>
      <c r="AU341" s="1758">
        <v>1134632961</v>
      </c>
      <c r="AV341" s="1758">
        <v>1134632961</v>
      </c>
      <c r="AW341" s="1758">
        <v>209215500</v>
      </c>
      <c r="AX341" s="1758"/>
      <c r="AY341" s="1758"/>
      <c r="AZ341" s="1758"/>
      <c r="BA341" s="1758"/>
      <c r="BB341" s="1758" t="s">
        <v>775</v>
      </c>
    </row>
    <row r="342" spans="40:54" ht="12" customHeight="1">
      <c r="AN342" t="str">
        <f t="shared" si="10"/>
        <v>41156011730693268</v>
      </c>
      <c r="AO342" t="str">
        <f t="shared" si="11"/>
        <v>4115601209215900</v>
      </c>
      <c r="AP342" s="1758" t="s">
        <v>940</v>
      </c>
      <c r="AQ342" s="1759">
        <v>4115601</v>
      </c>
      <c r="AR342" s="1758"/>
      <c r="AS342" s="1758">
        <v>24400</v>
      </c>
      <c r="AT342" s="1759">
        <v>24400</v>
      </c>
      <c r="AU342" s="1758">
        <v>1730693268</v>
      </c>
      <c r="AV342" s="1758">
        <v>1730693268</v>
      </c>
      <c r="AW342" s="1758">
        <v>209215900</v>
      </c>
      <c r="AX342" s="1758"/>
      <c r="AY342" s="1758"/>
      <c r="AZ342" s="1758"/>
      <c r="BA342" s="1758"/>
      <c r="BB342" s="1758" t="s">
        <v>775</v>
      </c>
    </row>
    <row r="343" spans="40:54" ht="12" customHeight="1">
      <c r="AN343" t="str">
        <f t="shared" si="10"/>
        <v>41156111215441407</v>
      </c>
      <c r="AO343" t="str">
        <f t="shared" si="11"/>
        <v>4115611209215600</v>
      </c>
      <c r="AP343" s="1758" t="s">
        <v>940</v>
      </c>
      <c r="AQ343" s="1759">
        <v>4115611</v>
      </c>
      <c r="AR343" s="1758"/>
      <c r="AS343" s="1758">
        <v>31510</v>
      </c>
      <c r="AT343" s="1759">
        <v>31510</v>
      </c>
      <c r="AU343" s="1758">
        <v>1215441407</v>
      </c>
      <c r="AV343" s="1758">
        <v>1215441407</v>
      </c>
      <c r="AW343" s="1758">
        <v>209215600</v>
      </c>
      <c r="AX343" s="1758"/>
      <c r="AY343" s="1758"/>
      <c r="AZ343" s="1758"/>
      <c r="BA343" s="1758"/>
      <c r="BB343" s="1758" t="s">
        <v>775</v>
      </c>
    </row>
    <row r="344" spans="40:54" ht="12" customHeight="1">
      <c r="AN344" t="str">
        <f t="shared" si="10"/>
        <v>41156211871006601</v>
      </c>
      <c r="AO344" t="str">
        <f t="shared" si="11"/>
        <v>4115621209216300</v>
      </c>
      <c r="AP344" s="1758" t="s">
        <v>940</v>
      </c>
      <c r="AQ344" s="1759">
        <v>4115621</v>
      </c>
      <c r="AR344" s="1758"/>
      <c r="AS344" s="1758">
        <v>21800</v>
      </c>
      <c r="AT344" s="1759">
        <v>21800</v>
      </c>
      <c r="AU344" s="1758">
        <v>1871006601</v>
      </c>
      <c r="AV344" s="1758">
        <v>1871006601</v>
      </c>
      <c r="AW344" s="1758">
        <v>209216300</v>
      </c>
      <c r="AX344" s="1758"/>
      <c r="AY344" s="1758"/>
      <c r="AZ344" s="1758"/>
      <c r="BA344" s="1758"/>
      <c r="BB344" s="1758" t="s">
        <v>775</v>
      </c>
    </row>
    <row r="345" spans="40:54" ht="12" customHeight="1">
      <c r="AN345" t="str">
        <f t="shared" si="10"/>
        <v>41156311245743079</v>
      </c>
      <c r="AO345" t="str">
        <f t="shared" si="11"/>
        <v>4115631209215400</v>
      </c>
      <c r="AP345" s="1758" t="s">
        <v>940</v>
      </c>
      <c r="AQ345" s="1759">
        <v>4115631</v>
      </c>
      <c r="AR345" s="1758"/>
      <c r="AS345" s="1758">
        <v>40930</v>
      </c>
      <c r="AT345" s="1759">
        <v>40930</v>
      </c>
      <c r="AU345" s="1758">
        <v>1245743079</v>
      </c>
      <c r="AV345" s="1758">
        <v>1245743079</v>
      </c>
      <c r="AW345" s="1758">
        <v>209215400</v>
      </c>
      <c r="AX345" s="1758"/>
      <c r="AY345" s="1758"/>
      <c r="AZ345" s="1758"/>
      <c r="BA345" s="1758"/>
      <c r="BB345" s="1758" t="s">
        <v>775</v>
      </c>
    </row>
    <row r="346" spans="40:54" ht="12" customHeight="1">
      <c r="AN346" t="str">
        <f t="shared" si="10"/>
        <v>41156411831603075</v>
      </c>
      <c r="AO346" t="str">
        <f t="shared" si="11"/>
        <v>4115641209216200</v>
      </c>
      <c r="AP346" s="1758" t="s">
        <v>940</v>
      </c>
      <c r="AQ346" s="1759">
        <v>4115641</v>
      </c>
      <c r="AR346" s="1758"/>
      <c r="AS346" s="1758">
        <v>16400</v>
      </c>
      <c r="AT346" s="1759">
        <v>16400</v>
      </c>
      <c r="AU346" s="1758">
        <v>1831603075</v>
      </c>
      <c r="AV346" s="1758">
        <v>1831603075</v>
      </c>
      <c r="AW346" s="1758">
        <v>209216200</v>
      </c>
      <c r="AX346" s="1758"/>
      <c r="AY346" s="1758"/>
      <c r="AZ346" s="1758"/>
      <c r="BA346" s="1758"/>
      <c r="BB346" s="1758" t="s">
        <v>775</v>
      </c>
    </row>
    <row r="347" spans="40:54" ht="12" customHeight="1">
      <c r="AN347" t="str">
        <f t="shared" si="10"/>
        <v>41156511164935995</v>
      </c>
      <c r="AO347" t="str">
        <f t="shared" si="11"/>
        <v>4115651209215800</v>
      </c>
      <c r="AP347" s="1758" t="s">
        <v>940</v>
      </c>
      <c r="AQ347" s="1759">
        <v>4115651</v>
      </c>
      <c r="AR347" s="1758"/>
      <c r="AS347" s="1758">
        <v>13900</v>
      </c>
      <c r="AT347" s="1759">
        <v>13900</v>
      </c>
      <c r="AU347" s="1758">
        <v>1164935995</v>
      </c>
      <c r="AV347" s="1758">
        <v>1164935995</v>
      </c>
      <c r="AW347" s="1758">
        <v>209215800</v>
      </c>
      <c r="AX347" s="1758"/>
      <c r="AY347" s="1758"/>
      <c r="AZ347" s="1758"/>
      <c r="BA347" s="1758"/>
      <c r="BB347" s="1758" t="s">
        <v>775</v>
      </c>
    </row>
    <row r="348" spans="40:54" ht="12" customHeight="1">
      <c r="AN348" t="str">
        <f t="shared" si="10"/>
        <v>41156611972010791</v>
      </c>
      <c r="AO348" t="str">
        <f t="shared" si="11"/>
        <v>4115661209215300</v>
      </c>
      <c r="AP348" s="1758" t="s">
        <v>940</v>
      </c>
      <c r="AQ348" s="1759">
        <v>4115661</v>
      </c>
      <c r="AR348" s="1758"/>
      <c r="AS348" s="1758">
        <v>15200</v>
      </c>
      <c r="AT348" s="1759">
        <v>15200</v>
      </c>
      <c r="AU348" s="1758">
        <v>1972010791</v>
      </c>
      <c r="AV348" s="1758">
        <v>1972010791</v>
      </c>
      <c r="AW348" s="1758">
        <v>209215300</v>
      </c>
      <c r="AX348" s="1758"/>
      <c r="AY348" s="1758"/>
      <c r="AZ348" s="1758"/>
      <c r="BA348" s="1758"/>
      <c r="BB348" s="1758" t="s">
        <v>775</v>
      </c>
    </row>
    <row r="349" spans="40:54" ht="12" customHeight="1">
      <c r="AN349" t="str">
        <f t="shared" si="10"/>
        <v>41156711730607953</v>
      </c>
      <c r="AO349" t="str">
        <f t="shared" si="11"/>
        <v>4115671209251800</v>
      </c>
      <c r="AP349" s="1758" t="s">
        <v>788</v>
      </c>
      <c r="AQ349" s="1759">
        <v>4115671</v>
      </c>
      <c r="AR349" s="1758"/>
      <c r="AS349" s="1758">
        <v>5830</v>
      </c>
      <c r="AT349" s="1759">
        <v>5830</v>
      </c>
      <c r="AU349" s="1758">
        <v>1730607953</v>
      </c>
      <c r="AV349" s="1758">
        <v>1730607953</v>
      </c>
      <c r="AW349" s="1758">
        <v>209251800</v>
      </c>
      <c r="AX349" s="1758"/>
      <c r="AY349" s="1758"/>
      <c r="AZ349" s="1758"/>
      <c r="BA349" s="1758">
        <v>50</v>
      </c>
      <c r="BB349" s="1758" t="s">
        <v>775</v>
      </c>
    </row>
    <row r="350" spans="40:54" ht="12" customHeight="1">
      <c r="AN350" t="str">
        <f t="shared" si="10"/>
        <v>41156811386162501</v>
      </c>
      <c r="AO350" t="str">
        <f t="shared" si="11"/>
        <v>4115681209252000</v>
      </c>
      <c r="AP350" s="1758" t="s">
        <v>788</v>
      </c>
      <c r="AQ350" s="1759">
        <v>4115681</v>
      </c>
      <c r="AR350" s="1758"/>
      <c r="AS350" s="1758">
        <v>39980</v>
      </c>
      <c r="AT350" s="1759">
        <v>39980</v>
      </c>
      <c r="AU350" s="1758">
        <v>1386162501</v>
      </c>
      <c r="AV350" s="1758">
        <v>1386162501</v>
      </c>
      <c r="AW350" s="1758">
        <v>209252000</v>
      </c>
      <c r="AX350" s="1758"/>
      <c r="AY350" s="1758"/>
      <c r="AZ350" s="1758"/>
      <c r="BA350" s="1758"/>
      <c r="BB350" s="1758" t="s">
        <v>775</v>
      </c>
    </row>
    <row r="351" spans="40:54" ht="12" customHeight="1">
      <c r="AN351" t="str">
        <f t="shared" si="10"/>
        <v>41156911215455365</v>
      </c>
      <c r="AO351" t="str">
        <f t="shared" si="11"/>
        <v>4115691209252200</v>
      </c>
      <c r="AP351" s="1758" t="s">
        <v>788</v>
      </c>
      <c r="AQ351" s="1759">
        <v>4115691</v>
      </c>
      <c r="AR351" s="1758"/>
      <c r="AS351" s="1758">
        <v>18100</v>
      </c>
      <c r="AT351" s="1759">
        <v>18100</v>
      </c>
      <c r="AU351" s="1758">
        <v>1215455365</v>
      </c>
      <c r="AV351" s="1758">
        <v>1215455365</v>
      </c>
      <c r="AW351" s="1758">
        <v>209252200</v>
      </c>
      <c r="AX351" s="1758"/>
      <c r="AY351" s="1758"/>
      <c r="AZ351" s="1758"/>
      <c r="BA351" s="1758">
        <v>50</v>
      </c>
      <c r="BB351" s="1758" t="s">
        <v>775</v>
      </c>
    </row>
    <row r="352" spans="40:56" ht="12" customHeight="1">
      <c r="AN352" t="str">
        <f t="shared" si="10"/>
        <v>41157011306365853</v>
      </c>
      <c r="AO352" t="str">
        <f t="shared" si="11"/>
        <v>4115701209266300</v>
      </c>
      <c r="AP352" s="1758" t="s">
        <v>774</v>
      </c>
      <c r="AQ352" s="1759">
        <v>4115701</v>
      </c>
      <c r="AR352" s="1758"/>
      <c r="AS352" s="1758">
        <v>25000</v>
      </c>
      <c r="AT352" s="1759">
        <v>25000</v>
      </c>
      <c r="AU352" s="1758">
        <v>1306365853</v>
      </c>
      <c r="AV352" s="1758">
        <v>1306365853</v>
      </c>
      <c r="AW352" s="1758">
        <v>209266300</v>
      </c>
      <c r="AX352" s="1758"/>
      <c r="AY352" s="1758"/>
      <c r="AZ352" s="1758"/>
      <c r="BA352" s="1758">
        <v>50</v>
      </c>
      <c r="BB352" s="1758" t="s">
        <v>775</v>
      </c>
      <c r="BC352">
        <v>62</v>
      </c>
      <c r="BD352">
        <v>63</v>
      </c>
    </row>
    <row r="353" spans="40:54" ht="12" customHeight="1">
      <c r="AN353" t="str">
        <f t="shared" si="10"/>
        <v>41157111962496745</v>
      </c>
      <c r="AO353" t="str">
        <f t="shared" si="11"/>
        <v>4115711102330100</v>
      </c>
      <c r="AP353" s="1758" t="s">
        <v>1014</v>
      </c>
      <c r="AQ353" s="1759">
        <v>4115711</v>
      </c>
      <c r="AR353" s="1758"/>
      <c r="AS353" s="1758">
        <v>23200</v>
      </c>
      <c r="AT353" s="1759">
        <v>23200</v>
      </c>
      <c r="AU353" s="1758">
        <v>1962496745</v>
      </c>
      <c r="AV353" s="1758">
        <v>1962496745</v>
      </c>
      <c r="AW353" s="1758">
        <v>102330100</v>
      </c>
      <c r="AX353" s="1758"/>
      <c r="AY353" s="1758"/>
      <c r="AZ353" s="1758">
        <v>45</v>
      </c>
      <c r="BA353" s="1758">
        <v>50</v>
      </c>
      <c r="BB353" s="1758" t="s">
        <v>775</v>
      </c>
    </row>
    <row r="354" spans="40:54" ht="12" customHeight="1">
      <c r="AN354" t="str">
        <f t="shared" si="10"/>
        <v>41157211811493364</v>
      </c>
      <c r="AO354" t="str">
        <f t="shared" si="11"/>
        <v>4115721209822400</v>
      </c>
      <c r="AP354" s="1758" t="s">
        <v>873</v>
      </c>
      <c r="AQ354" s="1759">
        <v>4115721</v>
      </c>
      <c r="AR354" s="1758" t="s">
        <v>987</v>
      </c>
      <c r="AS354" s="1758">
        <v>12500</v>
      </c>
      <c r="AT354" s="1759">
        <v>12500</v>
      </c>
      <c r="AU354" s="1758">
        <v>1811493364</v>
      </c>
      <c r="AV354" s="1758">
        <v>1811493364</v>
      </c>
      <c r="AW354" s="1758">
        <v>209822400</v>
      </c>
      <c r="AX354" s="1758"/>
      <c r="AY354" s="1758"/>
      <c r="AZ354" s="1758">
        <v>45</v>
      </c>
      <c r="BA354" s="1758"/>
      <c r="BB354" s="1758" t="s">
        <v>775</v>
      </c>
    </row>
    <row r="355" spans="40:54" ht="12" customHeight="1">
      <c r="AN355" t="str">
        <f t="shared" si="10"/>
        <v>41157311851804959</v>
      </c>
      <c r="AO355" t="str">
        <f t="shared" si="11"/>
        <v>4115731209956900</v>
      </c>
      <c r="AP355" s="1758" t="s">
        <v>904</v>
      </c>
      <c r="AQ355" s="1759">
        <v>4115731</v>
      </c>
      <c r="AR355" s="1758"/>
      <c r="AS355" s="1758">
        <v>17500</v>
      </c>
      <c r="AT355" s="1759">
        <v>17500</v>
      </c>
      <c r="AU355" s="1758">
        <v>1851804959</v>
      </c>
      <c r="AV355" s="1758">
        <v>1851804959</v>
      </c>
      <c r="AW355" s="1758">
        <v>209956900</v>
      </c>
      <c r="AX355" s="1758"/>
      <c r="AY355" s="1758"/>
      <c r="AZ355" s="1758"/>
      <c r="BA355" s="1758"/>
      <c r="BB355" s="1758" t="s">
        <v>775</v>
      </c>
    </row>
    <row r="356" spans="40:54" ht="12" customHeight="1">
      <c r="AN356" t="str">
        <f t="shared" si="10"/>
        <v>41274031699872382</v>
      </c>
      <c r="AO356" t="str">
        <f t="shared" si="11"/>
        <v>4127403101673500</v>
      </c>
      <c r="AP356" s="1758" t="s">
        <v>940</v>
      </c>
      <c r="AQ356" s="1759">
        <v>4127403</v>
      </c>
      <c r="AR356" s="1758"/>
      <c r="AS356" s="1758">
        <v>4100</v>
      </c>
      <c r="AT356" s="1759">
        <v>4100</v>
      </c>
      <c r="AU356" s="1758">
        <v>1699872382</v>
      </c>
      <c r="AV356" s="1758">
        <v>1699872382</v>
      </c>
      <c r="AW356" s="1758">
        <v>101673500</v>
      </c>
      <c r="AX356" s="1758"/>
      <c r="AY356" s="1758"/>
      <c r="AZ356" s="1758"/>
      <c r="BA356" s="1758"/>
      <c r="BB356" s="1758" t="s">
        <v>775</v>
      </c>
    </row>
    <row r="357" spans="40:54" ht="12" customHeight="1">
      <c r="AN357" t="str">
        <f t="shared" si="10"/>
        <v>41351091639169097</v>
      </c>
      <c r="AO357" t="str">
        <f t="shared" si="11"/>
        <v>4135109101515600</v>
      </c>
      <c r="AP357" s="1758" t="s">
        <v>940</v>
      </c>
      <c r="AQ357" s="1759">
        <v>4135109</v>
      </c>
      <c r="AR357" s="1758"/>
      <c r="AS357" s="1758">
        <v>5700</v>
      </c>
      <c r="AT357" s="1759">
        <v>5700</v>
      </c>
      <c r="AU357" s="1758">
        <v>1639169097</v>
      </c>
      <c r="AV357" s="1758">
        <v>1639169097</v>
      </c>
      <c r="AW357" s="1758">
        <v>101515600</v>
      </c>
      <c r="AX357" s="1758"/>
      <c r="AY357" s="1758"/>
      <c r="AZ357" s="1758"/>
      <c r="BA357" s="1758"/>
      <c r="BB357" s="1758" t="s">
        <v>775</v>
      </c>
    </row>
    <row r="358" spans="40:54" ht="12" customHeight="1">
      <c r="AN358" t="str">
        <f t="shared" si="10"/>
        <v>41359011053306118</v>
      </c>
      <c r="AO358" t="str">
        <f t="shared" si="11"/>
        <v>4135901100120900</v>
      </c>
      <c r="AP358" s="1758" t="s">
        <v>940</v>
      </c>
      <c r="AQ358" s="1759">
        <v>4135901</v>
      </c>
      <c r="AR358" s="1758"/>
      <c r="AS358" s="1758">
        <v>6000</v>
      </c>
      <c r="AT358" s="1759">
        <v>6000</v>
      </c>
      <c r="AU358" s="1758">
        <v>1053306118</v>
      </c>
      <c r="AV358" s="1758">
        <v>1053306118</v>
      </c>
      <c r="AW358" s="1758">
        <v>100120900</v>
      </c>
      <c r="AX358" s="1758"/>
      <c r="AY358" s="1758"/>
      <c r="AZ358" s="1758"/>
      <c r="BA358" s="1758"/>
      <c r="BB358" s="1758" t="s">
        <v>775</v>
      </c>
    </row>
    <row r="359" spans="40:54" ht="12" customHeight="1">
      <c r="AN359" t="str">
        <f t="shared" si="10"/>
        <v>41417011851396766</v>
      </c>
      <c r="AO359" t="str">
        <f t="shared" si="11"/>
        <v>4141701102062700</v>
      </c>
      <c r="AP359" s="1758" t="s">
        <v>940</v>
      </c>
      <c r="AQ359" s="1759">
        <v>4141701</v>
      </c>
      <c r="AR359" s="1758"/>
      <c r="AS359" s="1758">
        <v>7700</v>
      </c>
      <c r="AT359" s="1759">
        <v>7700</v>
      </c>
      <c r="AU359" s="1758">
        <v>1851396766</v>
      </c>
      <c r="AV359" s="1758">
        <v>1851396766</v>
      </c>
      <c r="AW359" s="1758">
        <v>102062700</v>
      </c>
      <c r="AX359" s="1758"/>
      <c r="AY359" s="1758"/>
      <c r="AZ359" s="1758"/>
      <c r="BA359" s="1758"/>
      <c r="BB359" s="1758" t="s">
        <v>775</v>
      </c>
    </row>
    <row r="360" spans="40:56" ht="12" customHeight="1">
      <c r="AN360" t="str">
        <f t="shared" si="10"/>
        <v>41110841396733440</v>
      </c>
      <c r="AO360" t="str">
        <f t="shared" si="11"/>
        <v>4111084100937200</v>
      </c>
      <c r="AP360" s="1758" t="s">
        <v>774</v>
      </c>
      <c r="AQ360" s="1759">
        <v>4111084</v>
      </c>
      <c r="AR360" s="1758" t="s">
        <v>775</v>
      </c>
      <c r="AS360" s="1758">
        <v>33600</v>
      </c>
      <c r="AT360" s="1759">
        <v>33600</v>
      </c>
      <c r="AU360" s="1758">
        <v>1396733440</v>
      </c>
      <c r="AV360" s="1758">
        <v>1396733440</v>
      </c>
      <c r="AW360" s="1758">
        <v>100937200</v>
      </c>
      <c r="AX360" s="1758" t="s">
        <v>775</v>
      </c>
      <c r="AY360" s="1758" t="s">
        <v>775</v>
      </c>
      <c r="AZ360" s="1758" t="s">
        <v>775</v>
      </c>
      <c r="BA360" s="1758" t="s">
        <v>775</v>
      </c>
      <c r="BB360" s="1758" t="s">
        <v>775</v>
      </c>
      <c r="BC360" t="s">
        <v>775</v>
      </c>
      <c r="BD360" t="s">
        <v>775</v>
      </c>
    </row>
    <row r="361" spans="40:56" ht="12" customHeight="1">
      <c r="AN361" t="str">
        <f t="shared" si="10"/>
        <v>41114491962496745</v>
      </c>
      <c r="AO361" t="str">
        <f t="shared" si="11"/>
        <v>4111449102330100</v>
      </c>
      <c r="AP361" s="1758" t="s">
        <v>774</v>
      </c>
      <c r="AQ361" s="1759">
        <v>4111449</v>
      </c>
      <c r="AR361" s="1758" t="s">
        <v>775</v>
      </c>
      <c r="AS361" s="1758">
        <v>23200</v>
      </c>
      <c r="AT361" s="1759">
        <v>23200</v>
      </c>
      <c r="AU361" s="1758">
        <v>1962496745</v>
      </c>
      <c r="AV361" s="1758">
        <v>1962496745</v>
      </c>
      <c r="AW361" s="1758">
        <v>102330100</v>
      </c>
      <c r="AX361" s="1758" t="s">
        <v>775</v>
      </c>
      <c r="AY361" s="1758" t="s">
        <v>775</v>
      </c>
      <c r="AZ361" s="1758">
        <v>45</v>
      </c>
      <c r="BA361" s="1758">
        <v>50</v>
      </c>
      <c r="BB361" s="1758" t="s">
        <v>775</v>
      </c>
      <c r="BC361" t="s">
        <v>775</v>
      </c>
      <c r="BD361" t="s">
        <v>775</v>
      </c>
    </row>
    <row r="362" spans="40:56" ht="12" customHeight="1">
      <c r="AN362" t="str">
        <f t="shared" si="10"/>
        <v>41125611023039872</v>
      </c>
      <c r="AO362" t="str">
        <f t="shared" si="11"/>
        <v>4112561104254300</v>
      </c>
      <c r="AP362" s="1758" t="s">
        <v>774</v>
      </c>
      <c r="AQ362" s="1759">
        <v>4112561</v>
      </c>
      <c r="AR362" s="1758" t="s">
        <v>775</v>
      </c>
      <c r="AS362" s="1758">
        <v>39980</v>
      </c>
      <c r="AT362" s="1759">
        <v>39980</v>
      </c>
      <c r="AU362" s="1758">
        <v>1023039872</v>
      </c>
      <c r="AV362" s="1758">
        <v>1023039872</v>
      </c>
      <c r="AW362" s="1758">
        <v>104254300</v>
      </c>
      <c r="AX362" s="1758" t="s">
        <v>775</v>
      </c>
      <c r="AY362" s="1758" t="s">
        <v>775</v>
      </c>
      <c r="AZ362" s="1758" t="s">
        <v>775</v>
      </c>
      <c r="BA362" s="1758" t="s">
        <v>775</v>
      </c>
      <c r="BB362" s="1758" t="s">
        <v>775</v>
      </c>
      <c r="BC362" t="s">
        <v>775</v>
      </c>
      <c r="BD362" t="s">
        <v>775</v>
      </c>
    </row>
    <row r="363" spans="40:56" ht="12" customHeight="1">
      <c r="AN363" t="str">
        <f t="shared" si="10"/>
        <v>41126521629099817</v>
      </c>
      <c r="AO363" t="str">
        <f t="shared" si="11"/>
        <v>4112652101495000</v>
      </c>
      <c r="AP363" s="1758" t="s">
        <v>774</v>
      </c>
      <c r="AQ363" s="1759">
        <v>4112652</v>
      </c>
      <c r="AR363" s="1758" t="s">
        <v>775</v>
      </c>
      <c r="AS363" s="1758">
        <v>18100</v>
      </c>
      <c r="AT363" s="1759">
        <v>18100</v>
      </c>
      <c r="AU363" s="1758">
        <v>1629099817</v>
      </c>
      <c r="AV363" s="1758">
        <v>1629099817</v>
      </c>
      <c r="AW363" s="1758">
        <v>101495000</v>
      </c>
      <c r="AX363" s="1758" t="s">
        <v>775</v>
      </c>
      <c r="AY363" s="1758" t="s">
        <v>775</v>
      </c>
      <c r="AZ363" s="1758" t="s">
        <v>775</v>
      </c>
      <c r="BA363" s="1758" t="s">
        <v>775</v>
      </c>
      <c r="BB363" s="1758" t="s">
        <v>775</v>
      </c>
      <c r="BC363" t="s">
        <v>775</v>
      </c>
      <c r="BD363" t="s">
        <v>775</v>
      </c>
    </row>
    <row r="364" spans="40:56" ht="12" customHeight="1">
      <c r="AN364" t="str">
        <f t="shared" si="10"/>
        <v>41128431710907233</v>
      </c>
      <c r="AO364" t="str">
        <f t="shared" si="11"/>
        <v>4112843101711600</v>
      </c>
      <c r="AP364" s="1758" t="s">
        <v>774</v>
      </c>
      <c r="AQ364" s="1759">
        <v>4112843</v>
      </c>
      <c r="AR364" s="1758" t="s">
        <v>775</v>
      </c>
      <c r="AS364" s="1758">
        <v>5830</v>
      </c>
      <c r="AT364" s="1759">
        <v>5830</v>
      </c>
      <c r="AU364" s="1758">
        <v>1710907233</v>
      </c>
      <c r="AV364" s="1758">
        <v>1710907233</v>
      </c>
      <c r="AW364" s="1758">
        <v>101711600</v>
      </c>
      <c r="AX364" s="1758" t="s">
        <v>775</v>
      </c>
      <c r="AY364" s="1758" t="s">
        <v>775</v>
      </c>
      <c r="AZ364" s="1758" t="s">
        <v>775</v>
      </c>
      <c r="BA364" s="1758" t="s">
        <v>775</v>
      </c>
      <c r="BB364" s="1758" t="s">
        <v>775</v>
      </c>
      <c r="BC364" t="s">
        <v>775</v>
      </c>
      <c r="BD364" t="s">
        <v>775</v>
      </c>
    </row>
    <row r="365" spans="40:54" ht="12" customHeight="1">
      <c r="AN365" t="str">
        <f t="shared" si="10"/>
        <v>41433011437130218</v>
      </c>
      <c r="AO365" t="str">
        <f t="shared" si="11"/>
        <v>4143301104418400</v>
      </c>
      <c r="AP365" s="1758" t="s">
        <v>774</v>
      </c>
      <c r="AQ365" s="1759">
        <v>4143301</v>
      </c>
      <c r="AR365" s="1758"/>
      <c r="AS365" s="1758">
        <v>8300</v>
      </c>
      <c r="AT365" s="1759">
        <v>8300</v>
      </c>
      <c r="AU365" s="1758">
        <v>1437130218</v>
      </c>
      <c r="AV365" s="1758">
        <v>1437130218</v>
      </c>
      <c r="AW365" s="1758">
        <v>104418400</v>
      </c>
      <c r="AX365" s="1758"/>
      <c r="AY365" s="1758"/>
      <c r="AZ365" s="1758"/>
      <c r="BA365" s="1758"/>
      <c r="BB365" s="1758" t="s">
        <v>775</v>
      </c>
    </row>
    <row r="366" spans="40:54" ht="12" customHeight="1">
      <c r="AN366" t="str">
        <f t="shared" si="10"/>
        <v>41461061528059094</v>
      </c>
      <c r="AO366" t="str">
        <f t="shared" si="11"/>
        <v>4146106104457600</v>
      </c>
      <c r="AP366" s="1758" t="s">
        <v>940</v>
      </c>
      <c r="AQ366" s="1759">
        <v>4146106</v>
      </c>
      <c r="AR366" s="1758"/>
      <c r="AS366" s="1758">
        <v>9400</v>
      </c>
      <c r="AT366" s="1759">
        <v>9400</v>
      </c>
      <c r="AU366" s="1758">
        <v>1528059094</v>
      </c>
      <c r="AV366" s="1758">
        <v>1528059094</v>
      </c>
      <c r="AW366" s="1758">
        <v>104457600</v>
      </c>
      <c r="AX366" s="1758"/>
      <c r="AY366" s="1758"/>
      <c r="AZ366" s="1758"/>
      <c r="BA366" s="1758"/>
      <c r="BB366" s="1758" t="s">
        <v>775</v>
      </c>
    </row>
    <row r="367" spans="40:54" ht="12" customHeight="1">
      <c r="AN367" t="str">
        <f t="shared" si="10"/>
        <v>41507021124011499</v>
      </c>
      <c r="AO367" t="str">
        <f t="shared" si="11"/>
        <v>4150702100290400</v>
      </c>
      <c r="AP367" s="1758" t="s">
        <v>873</v>
      </c>
      <c r="AQ367" s="1759">
        <v>4150702</v>
      </c>
      <c r="AR367" s="1758"/>
      <c r="AS367" s="1758">
        <v>12600</v>
      </c>
      <c r="AT367" s="1759">
        <v>12600</v>
      </c>
      <c r="AU367" s="1758">
        <v>1124011499</v>
      </c>
      <c r="AV367" s="1758">
        <v>1124011499</v>
      </c>
      <c r="AW367" s="1758">
        <v>100290400</v>
      </c>
      <c r="AX367" s="1758"/>
      <c r="AY367" s="1758"/>
      <c r="AZ367" s="1758"/>
      <c r="BA367" s="1758"/>
      <c r="BB367" s="1758" t="s">
        <v>775</v>
      </c>
    </row>
    <row r="368" spans="40:54" ht="12" customHeight="1">
      <c r="AN368" t="str">
        <f t="shared" si="10"/>
        <v>41527081417038605</v>
      </c>
      <c r="AO368" t="str">
        <f t="shared" si="11"/>
        <v>4152708100983200</v>
      </c>
      <c r="AP368" s="1758" t="s">
        <v>873</v>
      </c>
      <c r="AQ368" s="1759">
        <v>4152708</v>
      </c>
      <c r="AR368" s="1758"/>
      <c r="AS368" s="1758">
        <v>14200</v>
      </c>
      <c r="AT368" s="1759">
        <v>14200</v>
      </c>
      <c r="AU368" s="1758">
        <v>1417038605</v>
      </c>
      <c r="AV368" s="1758">
        <v>1417038605</v>
      </c>
      <c r="AW368" s="1758">
        <v>100983200</v>
      </c>
      <c r="AX368" s="1758"/>
      <c r="AY368" s="1758"/>
      <c r="AZ368" s="1758"/>
      <c r="BA368" s="1758"/>
      <c r="BB368" s="1758" t="s">
        <v>775</v>
      </c>
    </row>
    <row r="369" spans="40:54" ht="12" customHeight="1">
      <c r="AN369" t="str">
        <f t="shared" si="10"/>
        <v>41544071154381358</v>
      </c>
      <c r="AO369" t="str">
        <f t="shared" si="11"/>
        <v>4154407100367600</v>
      </c>
      <c r="AP369" s="1758" t="s">
        <v>940</v>
      </c>
      <c r="AQ369" s="1759">
        <v>4154407</v>
      </c>
      <c r="AR369" s="1758"/>
      <c r="AS369" s="1758">
        <v>15800</v>
      </c>
      <c r="AT369" s="1759">
        <v>15800</v>
      </c>
      <c r="AU369" s="1758">
        <v>1154381358</v>
      </c>
      <c r="AV369" s="1758">
        <v>1154381358</v>
      </c>
      <c r="AW369" s="1758">
        <v>100367600</v>
      </c>
      <c r="AX369" s="1758"/>
      <c r="AY369" s="1758"/>
      <c r="AZ369" s="1758"/>
      <c r="BA369" s="1758"/>
      <c r="BB369" s="1758" t="s">
        <v>775</v>
      </c>
    </row>
    <row r="370" spans="40:54" ht="12" customHeight="1">
      <c r="AN370" t="str">
        <f t="shared" si="10"/>
        <v>41545061205820669</v>
      </c>
      <c r="AO370" t="str">
        <f t="shared" si="11"/>
        <v>4154506100474600</v>
      </c>
      <c r="AP370" s="1758" t="s">
        <v>940</v>
      </c>
      <c r="AQ370" s="1759">
        <v>4154506</v>
      </c>
      <c r="AR370" s="1758"/>
      <c r="AS370" s="1758">
        <v>15900</v>
      </c>
      <c r="AT370" s="1759">
        <v>15900</v>
      </c>
      <c r="AU370" s="1758">
        <v>1205820669</v>
      </c>
      <c r="AV370" s="1758">
        <v>1205820669</v>
      </c>
      <c r="AW370" s="1758">
        <v>100474600</v>
      </c>
      <c r="AX370" s="1758"/>
      <c r="AY370" s="1758"/>
      <c r="AZ370" s="1758"/>
      <c r="BA370" s="1758">
        <v>50</v>
      </c>
      <c r="BB370" s="1758" t="s">
        <v>775</v>
      </c>
    </row>
    <row r="371" spans="40:54" ht="12" customHeight="1">
      <c r="AN371" t="str">
        <f t="shared" si="10"/>
        <v>41575091720087448</v>
      </c>
      <c r="AO371" t="str">
        <f t="shared" si="11"/>
        <v>4157509101735200</v>
      </c>
      <c r="AP371" s="1758" t="s">
        <v>788</v>
      </c>
      <c r="AQ371" s="1759">
        <v>4157509</v>
      </c>
      <c r="AR371" s="1758"/>
      <c r="AS371" s="1758">
        <v>17900</v>
      </c>
      <c r="AT371" s="1759">
        <v>17900</v>
      </c>
      <c r="AU371" s="1758">
        <v>1720087448</v>
      </c>
      <c r="AV371" s="1758">
        <v>1720087448</v>
      </c>
      <c r="AW371" s="1758">
        <v>101735200</v>
      </c>
      <c r="AX371" s="1758"/>
      <c r="AY371" s="1758"/>
      <c r="AZ371" s="1758"/>
      <c r="BA371" s="1758"/>
      <c r="BB371" s="1758" t="s">
        <v>775</v>
      </c>
    </row>
    <row r="372" spans="40:56" ht="12" customHeight="1">
      <c r="AN372" t="str">
        <f t="shared" si="10"/>
        <v>41144501356650469</v>
      </c>
      <c r="AO372" t="str">
        <f t="shared" si="11"/>
        <v>4114450201389900</v>
      </c>
      <c r="AP372" s="1758" t="s">
        <v>774</v>
      </c>
      <c r="AQ372" s="1759">
        <v>4114450</v>
      </c>
      <c r="AR372" s="1758" t="s">
        <v>775</v>
      </c>
      <c r="AS372" s="1758">
        <v>40980</v>
      </c>
      <c r="AT372" s="1759">
        <v>40980</v>
      </c>
      <c r="AU372" s="1758">
        <v>1356650469</v>
      </c>
      <c r="AV372" s="1758">
        <v>1356650469</v>
      </c>
      <c r="AW372" s="1758">
        <v>201389900</v>
      </c>
      <c r="AX372" s="1758" t="s">
        <v>775</v>
      </c>
      <c r="AY372" s="1758" t="s">
        <v>775</v>
      </c>
      <c r="AZ372" s="1758" t="s">
        <v>775</v>
      </c>
      <c r="BA372" s="1758" t="s">
        <v>775</v>
      </c>
      <c r="BB372" s="1758" t="s">
        <v>775</v>
      </c>
      <c r="BC372" t="s">
        <v>775</v>
      </c>
      <c r="BD372" t="s">
        <v>775</v>
      </c>
    </row>
    <row r="373" spans="40:56" ht="12" customHeight="1">
      <c r="AN373" t="str">
        <f t="shared" si="10"/>
        <v>41144761316237209</v>
      </c>
      <c r="AO373" t="str">
        <f t="shared" si="11"/>
        <v>4114476201754500</v>
      </c>
      <c r="AP373" s="1758" t="s">
        <v>774</v>
      </c>
      <c r="AQ373" s="1759">
        <v>4114476</v>
      </c>
      <c r="AR373" s="1758" t="s">
        <v>775</v>
      </c>
      <c r="AS373" s="1758">
        <v>41000</v>
      </c>
      <c r="AT373" s="1759">
        <v>41000</v>
      </c>
      <c r="AU373" s="1758">
        <v>1316237209</v>
      </c>
      <c r="AV373" s="1758">
        <v>1316237209</v>
      </c>
      <c r="AW373" s="1758">
        <v>201754500</v>
      </c>
      <c r="AX373" s="1758" t="s">
        <v>775</v>
      </c>
      <c r="AY373" s="1758" t="s">
        <v>775</v>
      </c>
      <c r="AZ373" s="1758" t="s">
        <v>775</v>
      </c>
      <c r="BA373" s="1758" t="s">
        <v>775</v>
      </c>
      <c r="BB373" s="1758" t="s">
        <v>775</v>
      </c>
      <c r="BC373" t="s">
        <v>775</v>
      </c>
      <c r="BD373" t="s">
        <v>775</v>
      </c>
    </row>
    <row r="374" spans="40:54" ht="12" customHeight="1">
      <c r="AN374" t="str">
        <f t="shared" si="10"/>
        <v>41588041033119649</v>
      </c>
      <c r="AO374" t="str">
        <f t="shared" si="11"/>
        <v>4158804100076100</v>
      </c>
      <c r="AP374" s="1758" t="s">
        <v>788</v>
      </c>
      <c r="AQ374" s="1759">
        <v>4158804</v>
      </c>
      <c r="AR374" s="1758"/>
      <c r="AS374" s="1758">
        <v>18700</v>
      </c>
      <c r="AT374" s="1759">
        <v>18700</v>
      </c>
      <c r="AU374" s="1758">
        <v>1033119649</v>
      </c>
      <c r="AV374" s="1758">
        <v>1033119649</v>
      </c>
      <c r="AW374" s="1758">
        <v>100076100</v>
      </c>
      <c r="AX374" s="1758"/>
      <c r="AY374" s="1758"/>
      <c r="AZ374" s="1758"/>
      <c r="BA374" s="1758"/>
      <c r="BB374" s="1758" t="s">
        <v>775</v>
      </c>
    </row>
    <row r="375" spans="40:54" ht="12" customHeight="1">
      <c r="AN375" t="str">
        <f t="shared" si="10"/>
        <v>41601071891817342</v>
      </c>
      <c r="AO375" t="str">
        <f t="shared" si="11"/>
        <v>4160107102159100</v>
      </c>
      <c r="AP375" s="1758" t="s">
        <v>940</v>
      </c>
      <c r="AQ375" s="1759">
        <v>4160107</v>
      </c>
      <c r="AR375" s="1758"/>
      <c r="AS375" s="1758">
        <v>19700</v>
      </c>
      <c r="AT375" s="1759">
        <v>19700</v>
      </c>
      <c r="AU375" s="1758">
        <v>1891817342</v>
      </c>
      <c r="AV375" s="1758">
        <v>1891817342</v>
      </c>
      <c r="AW375" s="1758">
        <v>102159100</v>
      </c>
      <c r="AX375" s="1758"/>
      <c r="AY375" s="1758"/>
      <c r="AZ375" s="1758"/>
      <c r="BA375" s="1758"/>
      <c r="BB375" s="1758" t="s">
        <v>775</v>
      </c>
    </row>
    <row r="376" spans="40:54" ht="12" customHeight="1">
      <c r="AN376" t="str">
        <f t="shared" si="10"/>
        <v>41645051073501847</v>
      </c>
      <c r="AO376" t="str">
        <f t="shared" si="11"/>
        <v>4164505100168400</v>
      </c>
      <c r="AP376" s="1758" t="s">
        <v>788</v>
      </c>
      <c r="AQ376" s="1759">
        <v>4164505</v>
      </c>
      <c r="AR376" s="1758"/>
      <c r="AS376" s="1758">
        <v>22600</v>
      </c>
      <c r="AT376" s="1759">
        <v>22600</v>
      </c>
      <c r="AU376" s="1758">
        <v>1073501847</v>
      </c>
      <c r="AV376" s="1758">
        <v>1073501847</v>
      </c>
      <c r="AW376" s="1758">
        <v>100168400</v>
      </c>
      <c r="AX376" s="1758"/>
      <c r="AY376" s="1758"/>
      <c r="AZ376" s="1758"/>
      <c r="BA376" s="1758"/>
      <c r="BB376" s="1758" t="s">
        <v>775</v>
      </c>
    </row>
    <row r="377" spans="40:54" ht="12" customHeight="1">
      <c r="AN377" t="str">
        <f t="shared" si="10"/>
        <v>41658091407863475</v>
      </c>
      <c r="AO377" t="str">
        <f t="shared" si="11"/>
        <v>4165809100965000</v>
      </c>
      <c r="AP377" s="1758" t="s">
        <v>873</v>
      </c>
      <c r="AQ377" s="1759">
        <v>4165809</v>
      </c>
      <c r="AR377" s="1758"/>
      <c r="AS377" s="1758">
        <v>23500</v>
      </c>
      <c r="AT377" s="1759">
        <v>23500</v>
      </c>
      <c r="AU377" s="1758">
        <v>1407863475</v>
      </c>
      <c r="AV377" s="1758">
        <v>1407863475</v>
      </c>
      <c r="AW377" s="1758">
        <v>100965000</v>
      </c>
      <c r="AX377" s="1758"/>
      <c r="AY377" s="1758"/>
      <c r="AZ377" s="1758"/>
      <c r="BA377" s="1758"/>
      <c r="BB377" s="1758" t="s">
        <v>775</v>
      </c>
    </row>
    <row r="378" spans="40:54" ht="12" customHeight="1">
      <c r="AN378" t="str">
        <f t="shared" si="10"/>
        <v>41679041356339667</v>
      </c>
      <c r="AO378" t="str">
        <f t="shared" si="11"/>
        <v>4167904100840800</v>
      </c>
      <c r="AP378" s="1758" t="s">
        <v>774</v>
      </c>
      <c r="AQ378" s="1759">
        <v>4167904</v>
      </c>
      <c r="AR378" s="1758"/>
      <c r="AS378" s="1758">
        <v>25200</v>
      </c>
      <c r="AT378" s="1759">
        <v>25200</v>
      </c>
      <c r="AU378" s="1758">
        <v>1356339667</v>
      </c>
      <c r="AV378" s="1758">
        <v>1356339667</v>
      </c>
      <c r="AW378" s="1758">
        <v>100840800</v>
      </c>
      <c r="AX378" s="1758"/>
      <c r="AY378" s="1758"/>
      <c r="AZ378" s="1758"/>
      <c r="BA378" s="1758"/>
      <c r="BB378" s="1758" t="s">
        <v>775</v>
      </c>
    </row>
    <row r="379" spans="40:54" ht="12" customHeight="1">
      <c r="AN379" t="str">
        <f t="shared" si="10"/>
        <v>41729041821084229</v>
      </c>
      <c r="AO379" t="str">
        <f t="shared" si="11"/>
        <v>4172904101981300</v>
      </c>
      <c r="AP379" s="1758" t="s">
        <v>940</v>
      </c>
      <c r="AQ379" s="1759">
        <v>4172904</v>
      </c>
      <c r="AR379" s="1758"/>
      <c r="AS379" s="1758">
        <v>18500</v>
      </c>
      <c r="AT379" s="1759">
        <v>18500</v>
      </c>
      <c r="AU379" s="1758">
        <v>1821084229</v>
      </c>
      <c r="AV379" s="1758">
        <v>1821084229</v>
      </c>
      <c r="AW379" s="1758">
        <v>101981300</v>
      </c>
      <c r="AX379" s="1758"/>
      <c r="AY379" s="1758"/>
      <c r="AZ379" s="1758"/>
      <c r="BA379" s="1758">
        <v>50</v>
      </c>
      <c r="BB379" s="1758" t="s">
        <v>775</v>
      </c>
    </row>
    <row r="380" spans="40:54" ht="12" customHeight="1">
      <c r="AN380" t="str">
        <f t="shared" si="10"/>
        <v>41732091811975568</v>
      </c>
      <c r="AO380" t="str">
        <f t="shared" si="11"/>
        <v>4173209101965900</v>
      </c>
      <c r="AP380" s="1758" t="s">
        <v>940</v>
      </c>
      <c r="AQ380" s="1759">
        <v>4173209</v>
      </c>
      <c r="AR380" s="1758"/>
      <c r="AS380" s="1758">
        <v>29900</v>
      </c>
      <c r="AT380" s="1759">
        <v>29900</v>
      </c>
      <c r="AU380" s="1758">
        <v>1811975568</v>
      </c>
      <c r="AV380" s="1758">
        <v>1811975568</v>
      </c>
      <c r="AW380" s="1758">
        <v>101965900</v>
      </c>
      <c r="AX380" s="1758"/>
      <c r="AY380" s="1758"/>
      <c r="AZ380" s="1758"/>
      <c r="BA380" s="1758"/>
      <c r="BB380" s="1758" t="s">
        <v>775</v>
      </c>
    </row>
    <row r="381" spans="40:54" ht="12" customHeight="1">
      <c r="AN381" t="str">
        <f t="shared" si="10"/>
        <v>41749001063483337</v>
      </c>
      <c r="AO381" t="str">
        <f t="shared" si="11"/>
        <v>4174900100154500</v>
      </c>
      <c r="AP381" s="1758" t="s">
        <v>788</v>
      </c>
      <c r="AQ381" s="1759">
        <v>4174900</v>
      </c>
      <c r="AR381" s="1758"/>
      <c r="AS381" s="1758">
        <v>21400</v>
      </c>
      <c r="AT381" s="1759">
        <v>21400</v>
      </c>
      <c r="AU381" s="1758">
        <v>1063483337</v>
      </c>
      <c r="AV381" s="1758">
        <v>1063483337</v>
      </c>
      <c r="AW381" s="1758">
        <v>100154500</v>
      </c>
      <c r="AX381" s="1758"/>
      <c r="AY381" s="1758"/>
      <c r="AZ381" s="1758"/>
      <c r="BA381" s="1758"/>
      <c r="BB381" s="1758" t="s">
        <v>775</v>
      </c>
    </row>
    <row r="382" spans="40:54" ht="12" customHeight="1">
      <c r="AN382" t="str">
        <f t="shared" si="10"/>
        <v>41764001952429862</v>
      </c>
      <c r="AO382" t="str">
        <f t="shared" si="11"/>
        <v>4176400102306500</v>
      </c>
      <c r="AP382" s="1758" t="s">
        <v>1014</v>
      </c>
      <c r="AQ382" s="1759">
        <v>4176400</v>
      </c>
      <c r="AR382" s="1758"/>
      <c r="AS382" s="1758">
        <v>31560</v>
      </c>
      <c r="AT382" s="1759">
        <v>31560</v>
      </c>
      <c r="AU382" s="1758">
        <v>1952429862</v>
      </c>
      <c r="AV382" s="1758">
        <v>1952429862</v>
      </c>
      <c r="AW382" s="1758">
        <v>102306500</v>
      </c>
      <c r="AX382" s="1758"/>
      <c r="AY382" s="1758"/>
      <c r="AZ382" s="1758"/>
      <c r="BA382" s="1758"/>
      <c r="BB382" s="1758" t="s">
        <v>775</v>
      </c>
    </row>
    <row r="383" spans="40:54" ht="12" customHeight="1">
      <c r="AN383" t="str">
        <f t="shared" si="10"/>
        <v>41797011891876306</v>
      </c>
      <c r="AO383" t="str">
        <f t="shared" si="11"/>
        <v>4179701102164500</v>
      </c>
      <c r="AP383" s="1758" t="s">
        <v>873</v>
      </c>
      <c r="AQ383" s="1759">
        <v>4179701</v>
      </c>
      <c r="AR383" s="1758"/>
      <c r="AS383" s="1758">
        <v>19200</v>
      </c>
      <c r="AT383" s="1759">
        <v>19200</v>
      </c>
      <c r="AU383" s="1758">
        <v>1891876306</v>
      </c>
      <c r="AV383" s="1758">
        <v>1891876306</v>
      </c>
      <c r="AW383" s="1758">
        <v>102164500</v>
      </c>
      <c r="AX383" s="1758"/>
      <c r="AY383" s="1758"/>
      <c r="AZ383" s="1758"/>
      <c r="BA383" s="1758"/>
      <c r="BB383" s="1758" t="s">
        <v>775</v>
      </c>
    </row>
    <row r="384" spans="40:56" ht="12" customHeight="1">
      <c r="AN384" t="str">
        <f t="shared" si="10"/>
        <v>41109871447325030</v>
      </c>
      <c r="AO384" t="str">
        <f t="shared" si="11"/>
        <v>4110987101067400</v>
      </c>
      <c r="AP384" s="1758" t="s">
        <v>774</v>
      </c>
      <c r="AQ384" s="1759">
        <v>4110987</v>
      </c>
      <c r="AR384" s="1758" t="s">
        <v>775</v>
      </c>
      <c r="AS384" s="1758">
        <v>40250</v>
      </c>
      <c r="AT384" s="1759">
        <v>40250</v>
      </c>
      <c r="AU384" s="1758">
        <v>1447325030</v>
      </c>
      <c r="AV384" s="1758">
        <v>1447325030</v>
      </c>
      <c r="AW384" s="1758">
        <v>101067400</v>
      </c>
      <c r="AX384" s="1758" t="s">
        <v>775</v>
      </c>
      <c r="AY384" s="1758" t="s">
        <v>775</v>
      </c>
      <c r="AZ384" s="1758" t="s">
        <v>775</v>
      </c>
      <c r="BA384" s="1758" t="s">
        <v>775</v>
      </c>
      <c r="BB384" s="1758" t="s">
        <v>775</v>
      </c>
      <c r="BC384" t="s">
        <v>775</v>
      </c>
      <c r="BD384" t="s">
        <v>775</v>
      </c>
    </row>
    <row r="385" spans="40:54" ht="12" customHeight="1">
      <c r="AN385" t="str">
        <f t="shared" si="10"/>
        <v>41867061740205988</v>
      </c>
      <c r="AO385" t="str">
        <f t="shared" si="11"/>
        <v>4186706101773800</v>
      </c>
      <c r="AP385" s="1758" t="s">
        <v>940</v>
      </c>
      <c r="AQ385" s="1759">
        <v>4186706</v>
      </c>
      <c r="AR385" s="1758"/>
      <c r="AS385" s="1758">
        <v>31300</v>
      </c>
      <c r="AT385" s="1759">
        <v>31300</v>
      </c>
      <c r="AU385" s="1758">
        <v>1740205988</v>
      </c>
      <c r="AV385" s="1758">
        <v>1740205988</v>
      </c>
      <c r="AW385" s="1758">
        <v>101773800</v>
      </c>
      <c r="AX385" s="1758" t="s">
        <v>988</v>
      </c>
      <c r="AY385" s="1758"/>
      <c r="AZ385" s="1758"/>
      <c r="BA385" s="1758"/>
      <c r="BB385" s="1758" t="s">
        <v>775</v>
      </c>
    </row>
    <row r="386" spans="40:56" ht="12" customHeight="1">
      <c r="AN386" t="str">
        <f t="shared" si="10"/>
        <v>41132541093700148</v>
      </c>
      <c r="AO386" t="str">
        <f t="shared" si="11"/>
        <v>4113254100213900</v>
      </c>
      <c r="AP386" s="1758" t="s">
        <v>774</v>
      </c>
      <c r="AQ386" s="1759">
        <v>4113254</v>
      </c>
      <c r="AR386" s="1758" t="s">
        <v>775</v>
      </c>
      <c r="AS386" s="1758">
        <v>12900</v>
      </c>
      <c r="AT386" s="1759">
        <v>12900</v>
      </c>
      <c r="AU386" s="1758">
        <v>1093700148</v>
      </c>
      <c r="AV386" s="1758">
        <v>1093700148</v>
      </c>
      <c r="AW386" s="1758">
        <v>100213900</v>
      </c>
      <c r="AX386" s="1758" t="s">
        <v>775</v>
      </c>
      <c r="AY386" s="1758" t="s">
        <v>775</v>
      </c>
      <c r="AZ386" s="1758" t="s">
        <v>775</v>
      </c>
      <c r="BA386" s="1758" t="s">
        <v>775</v>
      </c>
      <c r="BB386" s="1758" t="s">
        <v>775</v>
      </c>
      <c r="BC386" t="s">
        <v>775</v>
      </c>
      <c r="BD386" t="s">
        <v>775</v>
      </c>
    </row>
    <row r="387" spans="40:54" ht="12" customHeight="1">
      <c r="AN387" t="str">
        <f t="shared" si="10"/>
        <v>42021151992866511</v>
      </c>
      <c r="AO387" t="str">
        <f t="shared" si="11"/>
        <v>4202115102406400</v>
      </c>
      <c r="AP387" s="1758" t="s">
        <v>774</v>
      </c>
      <c r="AQ387" s="1759">
        <v>4202115</v>
      </c>
      <c r="AR387" s="1758"/>
      <c r="AS387" s="1758">
        <v>25900</v>
      </c>
      <c r="AT387" s="1759">
        <v>25900</v>
      </c>
      <c r="AU387" s="1758">
        <v>1992866511</v>
      </c>
      <c r="AV387" s="1758">
        <v>1992866511</v>
      </c>
      <c r="AW387" s="1758">
        <v>102406400</v>
      </c>
      <c r="AX387" s="1758" t="s">
        <v>979</v>
      </c>
      <c r="AY387" s="1758">
        <v>26</v>
      </c>
      <c r="AZ387" s="1758"/>
      <c r="BA387" s="1758"/>
      <c r="BB387" s="1758" t="s">
        <v>775</v>
      </c>
    </row>
    <row r="388" spans="40:54" ht="12" customHeight="1">
      <c r="AN388" t="str">
        <f t="shared" si="10"/>
        <v>42045091700973088</v>
      </c>
      <c r="AO388" t="str">
        <f t="shared" si="11"/>
        <v>4204509104532900</v>
      </c>
      <c r="AP388" s="1758" t="s">
        <v>873</v>
      </c>
      <c r="AQ388" s="1759">
        <v>4204509</v>
      </c>
      <c r="AR388" s="1758"/>
      <c r="AS388" s="1758">
        <v>30800</v>
      </c>
      <c r="AT388" s="1759">
        <v>30800</v>
      </c>
      <c r="AU388" s="1758">
        <v>1700973088</v>
      </c>
      <c r="AV388" s="1758">
        <v>1700973088</v>
      </c>
      <c r="AW388" s="1758">
        <v>104532900</v>
      </c>
      <c r="AX388" s="1758" t="s">
        <v>979</v>
      </c>
      <c r="AY388" s="1758">
        <v>26</v>
      </c>
      <c r="AZ388" s="1758"/>
      <c r="BA388" s="1758"/>
      <c r="BB388" s="1758" t="s">
        <v>775</v>
      </c>
    </row>
    <row r="389" spans="40:54" ht="12" customHeight="1">
      <c r="AN389" t="str">
        <f aca="true" t="shared" si="12" ref="AN389:AN452">AQ389&amp;AU389</f>
        <v>42054071437233236</v>
      </c>
      <c r="AO389" t="str">
        <f aca="true" t="shared" si="13" ref="AO389:AO452">AQ389&amp;AW389</f>
        <v>4205407101043300</v>
      </c>
      <c r="AP389" s="1758" t="s">
        <v>851</v>
      </c>
      <c r="AQ389" s="1759">
        <v>4205407</v>
      </c>
      <c r="AR389" s="1758"/>
      <c r="AS389" s="1758">
        <v>31590</v>
      </c>
      <c r="AT389" s="1759">
        <v>31590</v>
      </c>
      <c r="AU389" s="1758">
        <v>1437233236</v>
      </c>
      <c r="AV389" s="1758">
        <v>1437233236</v>
      </c>
      <c r="AW389" s="1758">
        <v>101043300</v>
      </c>
      <c r="AX389" s="1758" t="s">
        <v>979</v>
      </c>
      <c r="AY389" s="1758">
        <v>26</v>
      </c>
      <c r="AZ389" s="1758"/>
      <c r="BA389" s="1758"/>
      <c r="BB389" s="1758" t="s">
        <v>775</v>
      </c>
    </row>
    <row r="390" spans="40:54" ht="12" customHeight="1">
      <c r="AN390" t="str">
        <f t="shared" si="12"/>
        <v>42100011659458610</v>
      </c>
      <c r="AO390" t="str">
        <f t="shared" si="13"/>
        <v>4210001104513000</v>
      </c>
      <c r="AP390" s="1758" t="s">
        <v>1014</v>
      </c>
      <c r="AQ390" s="1759">
        <v>4210001</v>
      </c>
      <c r="AR390" s="1758"/>
      <c r="AS390" s="1758">
        <v>40010</v>
      </c>
      <c r="AT390" s="1759">
        <v>40010</v>
      </c>
      <c r="AU390" s="1758">
        <v>1659458610</v>
      </c>
      <c r="AV390" s="1758">
        <v>1659458610</v>
      </c>
      <c r="AW390" s="1758">
        <v>104513000</v>
      </c>
      <c r="AX390" s="1758" t="s">
        <v>979</v>
      </c>
      <c r="AY390" s="1758">
        <v>26</v>
      </c>
      <c r="AZ390" s="1758"/>
      <c r="BA390" s="1758"/>
      <c r="BB390" s="1758" t="s">
        <v>775</v>
      </c>
    </row>
    <row r="391" spans="40:54" ht="12" customHeight="1">
      <c r="AN391" t="str">
        <f t="shared" si="12"/>
        <v>42107041528126091</v>
      </c>
      <c r="AO391" t="str">
        <f t="shared" si="13"/>
        <v>4210704101258300</v>
      </c>
      <c r="AP391" s="1758" t="s">
        <v>873</v>
      </c>
      <c r="AQ391" s="1759">
        <v>4210704</v>
      </c>
      <c r="AR391" s="1758"/>
      <c r="AS391" s="1758">
        <v>31500</v>
      </c>
      <c r="AT391" s="1759">
        <v>31500</v>
      </c>
      <c r="AU391" s="1758">
        <v>1528126091</v>
      </c>
      <c r="AV391" s="1758">
        <v>1528126091</v>
      </c>
      <c r="AW391" s="1758">
        <v>101258300</v>
      </c>
      <c r="AX391" s="1758" t="s">
        <v>979</v>
      </c>
      <c r="AY391" s="1758">
        <v>26</v>
      </c>
      <c r="AZ391" s="1758">
        <v>45</v>
      </c>
      <c r="BA391" s="1758"/>
      <c r="BB391" s="1758" t="s">
        <v>775</v>
      </c>
    </row>
    <row r="392" spans="40:56" ht="12" customHeight="1">
      <c r="AN392" t="str">
        <f t="shared" si="12"/>
        <v>41119851023062247</v>
      </c>
      <c r="AO392" t="str">
        <f t="shared" si="13"/>
        <v>4111985104254700</v>
      </c>
      <c r="AP392" s="1758" t="s">
        <v>774</v>
      </c>
      <c r="AQ392" s="1759">
        <v>4111985</v>
      </c>
      <c r="AR392" s="1758" t="s">
        <v>775</v>
      </c>
      <c r="AS392" s="1758">
        <v>8500</v>
      </c>
      <c r="AT392" s="1759">
        <v>8500</v>
      </c>
      <c r="AU392" s="1758">
        <v>1023062247</v>
      </c>
      <c r="AV392" s="1758">
        <v>1023062247</v>
      </c>
      <c r="AW392" s="1758">
        <v>104254700</v>
      </c>
      <c r="AX392" s="1758" t="s">
        <v>775</v>
      </c>
      <c r="AY392" s="1758" t="s">
        <v>775</v>
      </c>
      <c r="AZ392" s="1758" t="s">
        <v>775</v>
      </c>
      <c r="BA392" s="1758" t="s">
        <v>775</v>
      </c>
      <c r="BB392" s="1758" t="s">
        <v>775</v>
      </c>
      <c r="BC392" t="s">
        <v>775</v>
      </c>
      <c r="BD392" t="s">
        <v>775</v>
      </c>
    </row>
    <row r="393" spans="40:56" ht="12" customHeight="1">
      <c r="AN393" t="str">
        <f t="shared" si="12"/>
        <v>41123221457306573</v>
      </c>
      <c r="AO393" t="str">
        <f t="shared" si="13"/>
        <v>4112322104426200</v>
      </c>
      <c r="AP393" s="1758" t="s">
        <v>774</v>
      </c>
      <c r="AQ393" s="1759">
        <v>4112322</v>
      </c>
      <c r="AR393" s="1758" t="s">
        <v>775</v>
      </c>
      <c r="AS393" s="1758">
        <v>15300</v>
      </c>
      <c r="AT393" s="1759">
        <v>15300</v>
      </c>
      <c r="AU393" s="1758">
        <v>1457306573</v>
      </c>
      <c r="AV393" s="1758">
        <v>1457306573</v>
      </c>
      <c r="AW393" s="1758">
        <v>104426200</v>
      </c>
      <c r="AX393" s="1758" t="s">
        <v>775</v>
      </c>
      <c r="AY393" s="1758" t="s">
        <v>775</v>
      </c>
      <c r="AZ393" s="1758" t="s">
        <v>775</v>
      </c>
      <c r="BA393" s="1758" t="s">
        <v>775</v>
      </c>
      <c r="BB393" s="1758" t="s">
        <v>775</v>
      </c>
      <c r="BC393" t="s">
        <v>775</v>
      </c>
      <c r="BD393" t="s">
        <v>775</v>
      </c>
    </row>
    <row r="394" spans="40:56" ht="12" customHeight="1">
      <c r="AN394" t="str">
        <f t="shared" si="12"/>
        <v>41132621336134741</v>
      </c>
      <c r="AO394" t="str">
        <f t="shared" si="13"/>
        <v>4113262100794000</v>
      </c>
      <c r="AP394" s="1758" t="s">
        <v>774</v>
      </c>
      <c r="AQ394" s="1759">
        <v>4113262</v>
      </c>
      <c r="AR394" s="1758" t="s">
        <v>775</v>
      </c>
      <c r="AS394" s="1758">
        <v>13800</v>
      </c>
      <c r="AT394" s="1759">
        <v>13800</v>
      </c>
      <c r="AU394" s="1758">
        <v>1336134741</v>
      </c>
      <c r="AV394" s="1758">
        <v>1336134741</v>
      </c>
      <c r="AW394" s="1758">
        <v>100794000</v>
      </c>
      <c r="AX394" s="1758" t="s">
        <v>775</v>
      </c>
      <c r="AY394" s="1758" t="s">
        <v>775</v>
      </c>
      <c r="AZ394" s="1758" t="s">
        <v>775</v>
      </c>
      <c r="BA394" s="1758" t="s">
        <v>775</v>
      </c>
      <c r="BB394" s="1758" t="s">
        <v>775</v>
      </c>
      <c r="BC394" t="s">
        <v>775</v>
      </c>
      <c r="BD394" t="s">
        <v>775</v>
      </c>
    </row>
    <row r="395" spans="40:54" ht="12" customHeight="1">
      <c r="AN395" t="str">
        <f t="shared" si="12"/>
        <v>42194081700038197</v>
      </c>
      <c r="AO395" t="str">
        <f t="shared" si="13"/>
        <v>4219408200125900</v>
      </c>
      <c r="AP395" s="1758" t="s">
        <v>774</v>
      </c>
      <c r="AQ395" s="1759">
        <v>4219408</v>
      </c>
      <c r="AR395" s="1758"/>
      <c r="AS395" s="1758">
        <v>39990</v>
      </c>
      <c r="AT395" s="1759">
        <v>39990</v>
      </c>
      <c r="AU395" s="1758">
        <v>1700038197</v>
      </c>
      <c r="AV395" s="1758">
        <v>1700038197</v>
      </c>
      <c r="AW395" s="1758">
        <v>200125900</v>
      </c>
      <c r="AX395" s="1758"/>
      <c r="AY395" s="1758">
        <v>26</v>
      </c>
      <c r="AZ395" s="1758"/>
      <c r="BA395" s="1758"/>
      <c r="BB395" s="1758" t="s">
        <v>775</v>
      </c>
    </row>
    <row r="396" spans="40:56" ht="12" customHeight="1">
      <c r="AN396" t="str">
        <f t="shared" si="12"/>
        <v>41131301902817281</v>
      </c>
      <c r="AO396" t="str">
        <f t="shared" si="13"/>
        <v>4113130104611700</v>
      </c>
      <c r="AP396" s="1758" t="s">
        <v>774</v>
      </c>
      <c r="AQ396" s="1759">
        <v>4113130</v>
      </c>
      <c r="AR396" s="1758" t="s">
        <v>775</v>
      </c>
      <c r="AS396" s="1758">
        <v>2100</v>
      </c>
      <c r="AT396" s="1759">
        <v>2100</v>
      </c>
      <c r="AU396" s="1758">
        <v>1902817281</v>
      </c>
      <c r="AV396" s="1758">
        <v>1902817281</v>
      </c>
      <c r="AW396" s="1758">
        <v>104611700</v>
      </c>
      <c r="AX396" s="1758" t="s">
        <v>775</v>
      </c>
      <c r="AY396" s="1758" t="s">
        <v>775</v>
      </c>
      <c r="AZ396" s="1758" t="s">
        <v>775</v>
      </c>
      <c r="BA396" s="1758" t="s">
        <v>775</v>
      </c>
      <c r="BB396" s="1758" t="s">
        <v>775</v>
      </c>
      <c r="BC396" t="s">
        <v>775</v>
      </c>
      <c r="BD396" t="s">
        <v>775</v>
      </c>
    </row>
    <row r="397" spans="40:56" ht="12" customHeight="1">
      <c r="AN397" t="str">
        <f t="shared" si="12"/>
        <v>41131481467463752</v>
      </c>
      <c r="AO397" t="str">
        <f t="shared" si="13"/>
        <v>4113148104431800</v>
      </c>
      <c r="AP397" s="1758" t="s">
        <v>774</v>
      </c>
      <c r="AQ397" s="1759">
        <v>4113148</v>
      </c>
      <c r="AR397" s="1758" t="s">
        <v>775</v>
      </c>
      <c r="AS397" s="1758">
        <v>9000</v>
      </c>
      <c r="AT397" s="1759">
        <v>9000</v>
      </c>
      <c r="AU397" s="1758">
        <v>1467463752</v>
      </c>
      <c r="AV397" s="1758">
        <v>1467463752</v>
      </c>
      <c r="AW397" s="1758">
        <v>104431800</v>
      </c>
      <c r="AX397" s="1758" t="s">
        <v>775</v>
      </c>
      <c r="AY397" s="1758" t="s">
        <v>775</v>
      </c>
      <c r="AZ397" s="1758" t="s">
        <v>775</v>
      </c>
      <c r="BA397" s="1758" t="s">
        <v>775</v>
      </c>
      <c r="BB397" s="1758" t="s">
        <v>775</v>
      </c>
      <c r="BC397" t="s">
        <v>775</v>
      </c>
      <c r="BD397" t="s">
        <v>775</v>
      </c>
    </row>
    <row r="398" spans="40:54" ht="12" customHeight="1">
      <c r="AN398" t="str">
        <f t="shared" si="12"/>
        <v>42201091104939479</v>
      </c>
      <c r="AO398" t="str">
        <f t="shared" si="13"/>
        <v>4220109201637700</v>
      </c>
      <c r="AP398" s="1758" t="s">
        <v>774</v>
      </c>
      <c r="AQ398" s="1759">
        <v>4220109</v>
      </c>
      <c r="AR398" s="1758"/>
      <c r="AS398" s="1758">
        <v>41010</v>
      </c>
      <c r="AT398" s="1759">
        <v>41010</v>
      </c>
      <c r="AU398" s="1758">
        <v>1104939479</v>
      </c>
      <c r="AV398" s="1758">
        <v>1104939479</v>
      </c>
      <c r="AW398" s="1758">
        <v>201637700</v>
      </c>
      <c r="AX398" s="1758"/>
      <c r="AY398" s="1758">
        <v>26</v>
      </c>
      <c r="AZ398" s="1758"/>
      <c r="BA398" s="1758"/>
      <c r="BB398" s="1758" t="s">
        <v>775</v>
      </c>
    </row>
    <row r="399" spans="40:56" ht="12" customHeight="1">
      <c r="AN399" t="str">
        <f t="shared" si="12"/>
        <v>41157411235174517</v>
      </c>
      <c r="AO399" t="str">
        <f t="shared" si="13"/>
        <v>4115741105534300</v>
      </c>
      <c r="AP399" s="1758" t="s">
        <v>851</v>
      </c>
      <c r="AQ399" s="1759">
        <v>4115741</v>
      </c>
      <c r="AR399" s="1758" t="s">
        <v>775</v>
      </c>
      <c r="AS399" s="1758">
        <v>39930</v>
      </c>
      <c r="AT399" s="1759">
        <v>39930</v>
      </c>
      <c r="AU399" s="1758">
        <v>1235174517</v>
      </c>
      <c r="AV399" s="1758">
        <v>1235174517</v>
      </c>
      <c r="AW399" s="1758">
        <v>105534300</v>
      </c>
      <c r="AX399" s="1758" t="s">
        <v>775</v>
      </c>
      <c r="AY399" s="1758" t="s">
        <v>775</v>
      </c>
      <c r="AZ399" s="1758" t="s">
        <v>775</v>
      </c>
      <c r="BA399" s="1758" t="s">
        <v>775</v>
      </c>
      <c r="BB399" s="1758" t="s">
        <v>775</v>
      </c>
      <c r="BC399" t="s">
        <v>775</v>
      </c>
      <c r="BD399" t="s">
        <v>775</v>
      </c>
    </row>
    <row r="400" spans="40:56" ht="12" customHeight="1">
      <c r="AN400" t="str">
        <f t="shared" si="12"/>
        <v>41157511881639169</v>
      </c>
      <c r="AO400" t="str">
        <f t="shared" si="13"/>
        <v>4115751105534600</v>
      </c>
      <c r="AP400" s="1758" t="s">
        <v>851</v>
      </c>
      <c r="AQ400" s="1759">
        <v>4115751</v>
      </c>
      <c r="AR400" s="1758" t="s">
        <v>775</v>
      </c>
      <c r="AS400" s="1758">
        <v>40040</v>
      </c>
      <c r="AT400" s="1759">
        <v>40040</v>
      </c>
      <c r="AU400" s="1758">
        <v>1881639169</v>
      </c>
      <c r="AV400" s="1758">
        <v>1881639169</v>
      </c>
      <c r="AW400" s="1758">
        <v>105534600</v>
      </c>
      <c r="AX400" s="1758" t="s">
        <v>775</v>
      </c>
      <c r="AY400" s="1758" t="s">
        <v>775</v>
      </c>
      <c r="AZ400" s="1758" t="s">
        <v>775</v>
      </c>
      <c r="BA400" s="1758" t="s">
        <v>775</v>
      </c>
      <c r="BB400" s="1758" t="s">
        <v>775</v>
      </c>
      <c r="BC400" t="s">
        <v>775</v>
      </c>
      <c r="BD400" t="s">
        <v>775</v>
      </c>
    </row>
    <row r="401" spans="40:56" ht="12" customHeight="1">
      <c r="AN401" t="str">
        <f t="shared" si="12"/>
        <v>41157611467497511</v>
      </c>
      <c r="AO401" t="str">
        <f t="shared" si="13"/>
        <v>4115761105534400</v>
      </c>
      <c r="AP401" s="1758" t="s">
        <v>851</v>
      </c>
      <c r="AQ401" s="1759">
        <v>4115761</v>
      </c>
      <c r="AR401" s="1758" t="s">
        <v>775</v>
      </c>
      <c r="AS401" s="1758">
        <v>29010</v>
      </c>
      <c r="AT401" s="1759">
        <v>29010</v>
      </c>
      <c r="AU401" s="1758">
        <v>1467497511</v>
      </c>
      <c r="AV401" s="1758">
        <v>1467497511</v>
      </c>
      <c r="AW401" s="1758">
        <v>105534400</v>
      </c>
      <c r="AX401" s="1758" t="s">
        <v>775</v>
      </c>
      <c r="AY401" s="1758" t="s">
        <v>775</v>
      </c>
      <c r="AZ401" s="1758" t="s">
        <v>775</v>
      </c>
      <c r="BA401" s="1758" t="s">
        <v>775</v>
      </c>
      <c r="BB401" s="1758" t="s">
        <v>775</v>
      </c>
      <c r="BC401" t="s">
        <v>775</v>
      </c>
      <c r="BD401" t="s">
        <v>775</v>
      </c>
    </row>
    <row r="402" spans="40:56" ht="12" customHeight="1">
      <c r="AN402" t="str">
        <f t="shared" si="12"/>
        <v>41157711952671505</v>
      </c>
      <c r="AO402" t="str">
        <f t="shared" si="13"/>
        <v>4115771202234600</v>
      </c>
      <c r="AP402" s="1758" t="s">
        <v>851</v>
      </c>
      <c r="AQ402" s="1759">
        <v>4115771</v>
      </c>
      <c r="AR402" s="1758" t="s">
        <v>775</v>
      </c>
      <c r="AS402" s="1758">
        <v>41020</v>
      </c>
      <c r="AT402" s="1759">
        <v>41020</v>
      </c>
      <c r="AU402" s="1758">
        <v>1952671505</v>
      </c>
      <c r="AV402" s="1758">
        <v>1952671505</v>
      </c>
      <c r="AW402" s="1758">
        <v>202234600</v>
      </c>
      <c r="AX402" s="1758" t="s">
        <v>775</v>
      </c>
      <c r="AY402" s="1758" t="s">
        <v>775</v>
      </c>
      <c r="AZ402" s="1758" t="s">
        <v>775</v>
      </c>
      <c r="BA402" s="1758" t="s">
        <v>775</v>
      </c>
      <c r="BB402" s="1758" t="s">
        <v>775</v>
      </c>
      <c r="BC402" t="s">
        <v>775</v>
      </c>
      <c r="BD402" t="s">
        <v>775</v>
      </c>
    </row>
    <row r="403" spans="40:56" ht="12" customHeight="1">
      <c r="AN403" t="str">
        <f t="shared" si="12"/>
        <v>41157811659317196</v>
      </c>
      <c r="AO403" t="str">
        <f t="shared" si="13"/>
        <v>4115781105534500</v>
      </c>
      <c r="AP403" s="1758" t="s">
        <v>851</v>
      </c>
      <c r="AQ403" s="1759">
        <v>4115781</v>
      </c>
      <c r="AR403" s="1758" t="s">
        <v>775</v>
      </c>
      <c r="AS403" s="1758">
        <v>31570</v>
      </c>
      <c r="AT403" s="1759">
        <v>31570</v>
      </c>
      <c r="AU403" s="1758">
        <v>1659317196</v>
      </c>
      <c r="AV403" s="1758">
        <v>1659317196</v>
      </c>
      <c r="AW403" s="1758">
        <v>105534500</v>
      </c>
      <c r="AX403" s="1758" t="s">
        <v>775</v>
      </c>
      <c r="AY403" s="1758" t="s">
        <v>775</v>
      </c>
      <c r="AZ403" s="1758" t="s">
        <v>775</v>
      </c>
      <c r="BA403" s="1758" t="s">
        <v>775</v>
      </c>
      <c r="BB403" s="1758" t="s">
        <v>775</v>
      </c>
      <c r="BC403" t="s">
        <v>775</v>
      </c>
      <c r="BD403" t="s">
        <v>775</v>
      </c>
    </row>
    <row r="404" spans="40:56" ht="12" customHeight="1">
      <c r="AN404" t="str">
        <f t="shared" si="12"/>
        <v>41157911609171081</v>
      </c>
      <c r="AO404" t="str">
        <f t="shared" si="13"/>
        <v>4115791201526200</v>
      </c>
      <c r="AP404" s="1758" t="s">
        <v>851</v>
      </c>
      <c r="AQ404" s="1759">
        <v>4115791</v>
      </c>
      <c r="AR404" s="1758" t="s">
        <v>775</v>
      </c>
      <c r="AS404" s="1758">
        <v>40990</v>
      </c>
      <c r="AT404" s="1759">
        <v>40990</v>
      </c>
      <c r="AU404" s="1758">
        <v>1609171081</v>
      </c>
      <c r="AV404" s="1758">
        <v>1609171081</v>
      </c>
      <c r="AW404" s="1758">
        <v>201526200</v>
      </c>
      <c r="AX404" s="1758" t="s">
        <v>775</v>
      </c>
      <c r="AY404" s="1758" t="s">
        <v>775</v>
      </c>
      <c r="AZ404" s="1758" t="s">
        <v>775</v>
      </c>
      <c r="BA404" s="1758" t="s">
        <v>775</v>
      </c>
      <c r="BB404" s="1758" t="s">
        <v>775</v>
      </c>
      <c r="BC404" t="s">
        <v>775</v>
      </c>
      <c r="BD404" t="s">
        <v>775</v>
      </c>
    </row>
    <row r="405" spans="40:56" ht="12" customHeight="1">
      <c r="AN405" t="str">
        <f t="shared" si="12"/>
        <v>41158011205811585</v>
      </c>
      <c r="AO405" t="str">
        <f t="shared" si="13"/>
        <v>4115801100474100</v>
      </c>
      <c r="AP405" s="1758" t="s">
        <v>851</v>
      </c>
      <c r="AQ405" s="1759">
        <v>4115801</v>
      </c>
      <c r="AR405" s="1758" t="s">
        <v>775</v>
      </c>
      <c r="AS405" s="1758">
        <v>5500</v>
      </c>
      <c r="AT405" s="1759">
        <v>5500</v>
      </c>
      <c r="AU405" s="1758">
        <v>1205811585</v>
      </c>
      <c r="AV405" s="1758">
        <v>1205811585</v>
      </c>
      <c r="AW405" s="1758">
        <v>100474100</v>
      </c>
      <c r="AX405" s="1758" t="s">
        <v>775</v>
      </c>
      <c r="AY405" s="1758" t="s">
        <v>775</v>
      </c>
      <c r="AZ405" s="1758" t="s">
        <v>775</v>
      </c>
      <c r="BA405" s="1758" t="s">
        <v>775</v>
      </c>
      <c r="BB405" s="1758" t="s">
        <v>775</v>
      </c>
      <c r="BC405" t="s">
        <v>775</v>
      </c>
      <c r="BD405" t="s">
        <v>775</v>
      </c>
    </row>
    <row r="406" spans="40:56" ht="12" customHeight="1">
      <c r="AN406" t="str">
        <f t="shared" si="12"/>
        <v>41158111285619577</v>
      </c>
      <c r="AO406" t="str">
        <f t="shared" si="13"/>
        <v>4115811100672200</v>
      </c>
      <c r="AP406" s="1758" t="s">
        <v>851</v>
      </c>
      <c r="AQ406" s="1759">
        <v>4115811</v>
      </c>
      <c r="AR406" s="1758" t="s">
        <v>775</v>
      </c>
      <c r="AS406" s="1758">
        <v>26060</v>
      </c>
      <c r="AT406" s="1759">
        <v>26060</v>
      </c>
      <c r="AU406" s="1758">
        <v>1285619577</v>
      </c>
      <c r="AV406" s="1758">
        <v>1285619577</v>
      </c>
      <c r="AW406" s="1758">
        <v>100672200</v>
      </c>
      <c r="AX406" s="1758" t="s">
        <v>775</v>
      </c>
      <c r="AY406" s="1758" t="s">
        <v>775</v>
      </c>
      <c r="AZ406" s="1758" t="s">
        <v>775</v>
      </c>
      <c r="BA406" s="1758" t="s">
        <v>775</v>
      </c>
      <c r="BB406" s="1758" t="s">
        <v>775</v>
      </c>
      <c r="BC406" t="s">
        <v>775</v>
      </c>
      <c r="BD406" t="s">
        <v>775</v>
      </c>
    </row>
    <row r="407" spans="40:56" ht="12" customHeight="1">
      <c r="AN407" t="str">
        <f t="shared" si="12"/>
        <v>41158211629265871</v>
      </c>
      <c r="AO407" t="str">
        <f t="shared" si="13"/>
        <v>4115821105535700</v>
      </c>
      <c r="AP407" s="1758" t="s">
        <v>851</v>
      </c>
      <c r="AQ407" s="1759">
        <v>4115821</v>
      </c>
      <c r="AR407" s="1758" t="s">
        <v>775</v>
      </c>
      <c r="AS407" s="1758">
        <v>10500</v>
      </c>
      <c r="AT407" s="1759">
        <v>10500</v>
      </c>
      <c r="AU407" s="1758">
        <v>1629265871</v>
      </c>
      <c r="AV407" s="1758">
        <v>1629265871</v>
      </c>
      <c r="AW407" s="1758">
        <v>105535700</v>
      </c>
      <c r="AX407" s="1758" t="s">
        <v>775</v>
      </c>
      <c r="AY407" s="1758" t="s">
        <v>775</v>
      </c>
      <c r="AZ407" s="1758">
        <v>45</v>
      </c>
      <c r="BA407" s="1758" t="s">
        <v>775</v>
      </c>
      <c r="BB407" s="1758" t="s">
        <v>775</v>
      </c>
      <c r="BC407" t="s">
        <v>775</v>
      </c>
      <c r="BD407" t="s">
        <v>775</v>
      </c>
    </row>
    <row r="408" spans="40:56" ht="12" customHeight="1">
      <c r="AN408" t="str">
        <f t="shared" si="12"/>
        <v>41158311073781183</v>
      </c>
      <c r="AO408" t="str">
        <f t="shared" si="13"/>
        <v>4115831108515100</v>
      </c>
      <c r="AP408" s="1758" t="s">
        <v>851</v>
      </c>
      <c r="AQ408" s="1759">
        <v>4115831</v>
      </c>
      <c r="AR408" s="1758" t="s">
        <v>775</v>
      </c>
      <c r="AS408" s="1758">
        <v>9900</v>
      </c>
      <c r="AT408" s="1759">
        <v>9900</v>
      </c>
      <c r="AU408" s="1758">
        <v>1073781183</v>
      </c>
      <c r="AV408" s="1758">
        <v>1073781183</v>
      </c>
      <c r="AW408" s="1758">
        <v>108515100</v>
      </c>
      <c r="AX408" s="1758" t="s">
        <v>775</v>
      </c>
      <c r="AY408" s="1758" t="s">
        <v>775</v>
      </c>
      <c r="AZ408" s="1758">
        <v>45</v>
      </c>
      <c r="BA408" s="1758" t="s">
        <v>775</v>
      </c>
      <c r="BB408" s="1758" t="s">
        <v>775</v>
      </c>
      <c r="BC408" t="s">
        <v>775</v>
      </c>
      <c r="BD408" t="s">
        <v>775</v>
      </c>
    </row>
    <row r="409" spans="40:56" ht="12" customHeight="1">
      <c r="AN409" t="str">
        <f t="shared" si="12"/>
        <v>41137341740275957</v>
      </c>
      <c r="AO409" t="str">
        <f t="shared" si="13"/>
        <v>4113734101783100</v>
      </c>
      <c r="AP409" s="1758" t="s">
        <v>774</v>
      </c>
      <c r="AQ409" s="1759">
        <v>4113734</v>
      </c>
      <c r="AR409" s="1758" t="s">
        <v>775</v>
      </c>
      <c r="AS409" s="1758">
        <v>35050</v>
      </c>
      <c r="AT409" s="1759">
        <v>35050</v>
      </c>
      <c r="AU409" s="1758">
        <v>1740275957</v>
      </c>
      <c r="AV409" s="1758">
        <v>1740275957</v>
      </c>
      <c r="AW409" s="1758">
        <v>101783100</v>
      </c>
      <c r="AX409" s="1758" t="s">
        <v>775</v>
      </c>
      <c r="AY409" s="1758" t="s">
        <v>775</v>
      </c>
      <c r="AZ409" s="1758" t="s">
        <v>775</v>
      </c>
      <c r="BA409" s="1758" t="s">
        <v>775</v>
      </c>
      <c r="BB409" s="1758" t="s">
        <v>775</v>
      </c>
      <c r="BC409" t="s">
        <v>775</v>
      </c>
      <c r="BD409" t="s">
        <v>775</v>
      </c>
    </row>
    <row r="410" spans="40:56" ht="12" customHeight="1">
      <c r="AN410" t="str">
        <f t="shared" si="12"/>
        <v>41158511437130218</v>
      </c>
      <c r="AO410" t="str">
        <f t="shared" si="13"/>
        <v>4115851104418400</v>
      </c>
      <c r="AP410" s="1758" t="s">
        <v>1014</v>
      </c>
      <c r="AQ410" s="1759">
        <v>4115851</v>
      </c>
      <c r="AR410" s="1758" t="s">
        <v>775</v>
      </c>
      <c r="AS410" s="1758">
        <v>8300</v>
      </c>
      <c r="AT410" s="1759">
        <v>8300</v>
      </c>
      <c r="AU410" s="1758">
        <v>1437130218</v>
      </c>
      <c r="AV410" s="1758">
        <v>1437130218</v>
      </c>
      <c r="AW410" s="1758">
        <v>104418400</v>
      </c>
      <c r="AX410" s="1758" t="s">
        <v>775</v>
      </c>
      <c r="AY410" s="1758" t="s">
        <v>775</v>
      </c>
      <c r="AZ410" s="1758" t="s">
        <v>775</v>
      </c>
      <c r="BA410" s="1758" t="s">
        <v>775</v>
      </c>
      <c r="BB410" s="1758" t="s">
        <v>775</v>
      </c>
      <c r="BC410" t="s">
        <v>775</v>
      </c>
      <c r="BD410" t="s">
        <v>775</v>
      </c>
    </row>
    <row r="411" spans="40:56" ht="12" customHeight="1">
      <c r="AN411" t="str">
        <f t="shared" si="12"/>
        <v>41150911518355569</v>
      </c>
      <c r="AO411" t="str">
        <f t="shared" si="13"/>
        <v>4115091204470000</v>
      </c>
      <c r="AP411" s="1758" t="s">
        <v>774</v>
      </c>
      <c r="AQ411" s="1759">
        <v>4115091</v>
      </c>
      <c r="AR411" s="1758" t="s">
        <v>775</v>
      </c>
      <c r="AS411" s="1758">
        <v>9300</v>
      </c>
      <c r="AT411" s="1759">
        <v>9300</v>
      </c>
      <c r="AU411" s="1758">
        <v>1518355569</v>
      </c>
      <c r="AV411" s="1758">
        <v>1518355569</v>
      </c>
      <c r="AW411" s="1758">
        <v>204470000</v>
      </c>
      <c r="AX411" s="1758" t="s">
        <v>979</v>
      </c>
      <c r="AY411" s="1758" t="s">
        <v>775</v>
      </c>
      <c r="AZ411" s="1758" t="s">
        <v>775</v>
      </c>
      <c r="BA411" s="1758" t="s">
        <v>775</v>
      </c>
      <c r="BB411" s="1758" t="s">
        <v>775</v>
      </c>
      <c r="BC411" t="s">
        <v>775</v>
      </c>
      <c r="BD411" t="s">
        <v>775</v>
      </c>
    </row>
    <row r="412" spans="40:56" ht="12" customHeight="1">
      <c r="AN412" t="str">
        <f t="shared" si="12"/>
        <v>41132701376538637</v>
      </c>
      <c r="AO412" t="str">
        <f t="shared" si="13"/>
        <v>4113270100886600</v>
      </c>
      <c r="AP412" s="1758" t="s">
        <v>774</v>
      </c>
      <c r="AQ412" s="1759">
        <v>4113270</v>
      </c>
      <c r="AR412" s="1758" t="s">
        <v>775</v>
      </c>
      <c r="AS412" s="1758">
        <v>40170</v>
      </c>
      <c r="AT412" s="1759">
        <v>40170</v>
      </c>
      <c r="AU412" s="1758">
        <v>1376538637</v>
      </c>
      <c r="AV412" s="1758">
        <v>1376538637</v>
      </c>
      <c r="AW412" s="1758">
        <v>100886600</v>
      </c>
      <c r="AX412" s="1758" t="s">
        <v>775</v>
      </c>
      <c r="AY412" s="1758" t="s">
        <v>775</v>
      </c>
      <c r="AZ412" s="1758" t="s">
        <v>775</v>
      </c>
      <c r="BA412" s="1758" t="s">
        <v>775</v>
      </c>
      <c r="BB412" s="1758" t="s">
        <v>775</v>
      </c>
      <c r="BC412" t="s">
        <v>775</v>
      </c>
      <c r="BD412" t="s">
        <v>775</v>
      </c>
    </row>
    <row r="413" spans="40:56" ht="12" customHeight="1">
      <c r="AN413" t="str">
        <f t="shared" si="12"/>
        <v>41158711063403368</v>
      </c>
      <c r="AO413" t="str">
        <f t="shared" si="13"/>
        <v>4115871104268800</v>
      </c>
      <c r="AP413" s="1758" t="s">
        <v>1014</v>
      </c>
      <c r="AQ413" s="1759">
        <v>4115871</v>
      </c>
      <c r="AR413" s="1758" t="s">
        <v>775</v>
      </c>
      <c r="AS413" s="1758">
        <v>40130</v>
      </c>
      <c r="AT413" s="1759">
        <v>40130</v>
      </c>
      <c r="AU413" s="1758">
        <v>1063403368</v>
      </c>
      <c r="AV413" s="1758">
        <v>1063403368</v>
      </c>
      <c r="AW413" s="1758">
        <v>104268800</v>
      </c>
      <c r="AX413" s="1758" t="s">
        <v>775</v>
      </c>
      <c r="AY413" s="1758" t="s">
        <v>775</v>
      </c>
      <c r="AZ413" s="1758" t="s">
        <v>775</v>
      </c>
      <c r="BA413" s="1758">
        <v>50</v>
      </c>
      <c r="BB413" s="1758" t="s">
        <v>775</v>
      </c>
      <c r="BC413" t="s">
        <v>775</v>
      </c>
      <c r="BD413" t="s">
        <v>775</v>
      </c>
    </row>
    <row r="414" spans="40:56" ht="12" customHeight="1">
      <c r="AN414" t="str">
        <f t="shared" si="12"/>
        <v>41158611962970533</v>
      </c>
      <c r="AO414" t="str">
        <f t="shared" si="13"/>
        <v>4115861211999300</v>
      </c>
      <c r="AP414" s="1758" t="s">
        <v>873</v>
      </c>
      <c r="AQ414" s="1759">
        <v>4115861</v>
      </c>
      <c r="AR414" s="1758" t="s">
        <v>775</v>
      </c>
      <c r="AS414" s="1758">
        <v>17400</v>
      </c>
      <c r="AT414" s="1759">
        <v>17400</v>
      </c>
      <c r="AU414" s="1758">
        <v>1962970533</v>
      </c>
      <c r="AV414" s="1758">
        <v>1962970533</v>
      </c>
      <c r="AW414" s="1758">
        <v>211999300</v>
      </c>
      <c r="AX414" s="1758" t="s">
        <v>775</v>
      </c>
      <c r="AY414" s="1758" t="s">
        <v>775</v>
      </c>
      <c r="AZ414" s="1758" t="s">
        <v>775</v>
      </c>
      <c r="BA414" s="1758">
        <v>50</v>
      </c>
      <c r="BB414" s="1758" t="s">
        <v>775</v>
      </c>
      <c r="BC414" t="s">
        <v>775</v>
      </c>
      <c r="BD414" t="s">
        <v>775</v>
      </c>
    </row>
    <row r="415" spans="40:56" ht="12" customHeight="1">
      <c r="AN415" t="str">
        <f t="shared" si="12"/>
        <v>41158811598234577</v>
      </c>
      <c r="AO415" t="str">
        <f t="shared" si="13"/>
        <v>4115881212143100</v>
      </c>
      <c r="AP415" s="1758" t="s">
        <v>940</v>
      </c>
      <c r="AQ415" s="1759">
        <v>4115881</v>
      </c>
      <c r="AR415" s="1758" t="s">
        <v>775</v>
      </c>
      <c r="AS415" s="1758">
        <v>25000</v>
      </c>
      <c r="AT415" s="1759">
        <v>25000</v>
      </c>
      <c r="AU415" s="1758">
        <v>1598234577</v>
      </c>
      <c r="AV415" s="1758">
        <v>1598234577</v>
      </c>
      <c r="AW415" s="1758">
        <v>212143100</v>
      </c>
      <c r="AX415" s="1758" t="s">
        <v>775</v>
      </c>
      <c r="AY415" s="1758" t="s">
        <v>775</v>
      </c>
      <c r="AZ415" s="1758" t="s">
        <v>775</v>
      </c>
      <c r="BA415" s="1758">
        <v>50</v>
      </c>
      <c r="BB415" s="1758" t="s">
        <v>775</v>
      </c>
      <c r="BC415">
        <v>62</v>
      </c>
      <c r="BD415">
        <v>63</v>
      </c>
    </row>
    <row r="416" spans="40:56" ht="12" customHeight="1">
      <c r="AN416" t="str">
        <f t="shared" si="12"/>
        <v>41158911033475769</v>
      </c>
      <c r="AO416" t="str">
        <f t="shared" si="13"/>
        <v>4115891202207700</v>
      </c>
      <c r="AP416" s="1758" t="s">
        <v>940</v>
      </c>
      <c r="AQ416" s="1759">
        <v>4115891</v>
      </c>
      <c r="AR416" s="1758" t="s">
        <v>775</v>
      </c>
      <c r="AS416" s="1758">
        <v>40360</v>
      </c>
      <c r="AT416" s="1759">
        <v>40360</v>
      </c>
      <c r="AU416" s="1758">
        <v>1033475769</v>
      </c>
      <c r="AV416" s="1758">
        <v>1033475769</v>
      </c>
      <c r="AW416" s="1758">
        <v>202207700</v>
      </c>
      <c r="AX416" s="1758" t="s">
        <v>775</v>
      </c>
      <c r="AY416" s="1758" t="s">
        <v>775</v>
      </c>
      <c r="AZ416" s="1758" t="s">
        <v>775</v>
      </c>
      <c r="BA416" s="1758" t="s">
        <v>775</v>
      </c>
      <c r="BB416" s="1758" t="s">
        <v>775</v>
      </c>
      <c r="BC416" t="s">
        <v>775</v>
      </c>
      <c r="BD416" t="s">
        <v>775</v>
      </c>
    </row>
    <row r="417" spans="40:56" ht="12" customHeight="1">
      <c r="AN417" t="str">
        <f t="shared" si="12"/>
        <v>41158411487217824</v>
      </c>
      <c r="AO417" t="str">
        <f t="shared" si="13"/>
        <v>4115841213694500</v>
      </c>
      <c r="AP417" s="1758" t="s">
        <v>940</v>
      </c>
      <c r="AQ417" s="1759">
        <v>4115841</v>
      </c>
      <c r="AR417" s="1758" t="s">
        <v>775</v>
      </c>
      <c r="AS417" s="1758">
        <v>41118</v>
      </c>
      <c r="AT417" s="1759">
        <v>41118</v>
      </c>
      <c r="AU417" s="1758">
        <v>1487217824</v>
      </c>
      <c r="AV417" s="1758">
        <v>1487217824</v>
      </c>
      <c r="AW417" s="1758">
        <v>213694500</v>
      </c>
      <c r="AX417" s="1758" t="s">
        <v>775</v>
      </c>
      <c r="AY417" s="1758" t="s">
        <v>775</v>
      </c>
      <c r="AZ417" s="1758" t="s">
        <v>775</v>
      </c>
      <c r="BA417" s="1758" t="s">
        <v>775</v>
      </c>
      <c r="BB417" s="1758" t="s">
        <v>775</v>
      </c>
      <c r="BC417" t="s">
        <v>775</v>
      </c>
      <c r="BD417" t="s">
        <v>775</v>
      </c>
    </row>
    <row r="418" spans="40:56" ht="12" customHeight="1">
      <c r="AN418" t="str">
        <f t="shared" si="12"/>
        <v>41140211508904467</v>
      </c>
      <c r="AO418" t="str">
        <f t="shared" si="13"/>
        <v>4114021101210200</v>
      </c>
      <c r="AP418" s="1758" t="s">
        <v>774</v>
      </c>
      <c r="AQ418" s="1759">
        <v>4114021</v>
      </c>
      <c r="AR418" s="1758" t="s">
        <v>775</v>
      </c>
      <c r="AS418" s="1758">
        <v>7300</v>
      </c>
      <c r="AT418" s="1759">
        <v>7300</v>
      </c>
      <c r="AU418" s="1758">
        <v>1508904467</v>
      </c>
      <c r="AV418" s="1758">
        <v>1508904467</v>
      </c>
      <c r="AW418" s="1758">
        <v>101210200</v>
      </c>
      <c r="AX418" s="1758" t="s">
        <v>775</v>
      </c>
      <c r="AY418" s="1758" t="s">
        <v>775</v>
      </c>
      <c r="AZ418" s="1758" t="s">
        <v>775</v>
      </c>
      <c r="BA418" s="1758" t="s">
        <v>775</v>
      </c>
      <c r="BB418" s="1758" t="s">
        <v>775</v>
      </c>
      <c r="BC418" t="s">
        <v>775</v>
      </c>
      <c r="BD418" t="s">
        <v>775</v>
      </c>
    </row>
    <row r="419" spans="40:56" ht="12" customHeight="1">
      <c r="AN419" t="str">
        <f t="shared" si="12"/>
        <v>41124131144210162</v>
      </c>
      <c r="AO419" t="str">
        <f t="shared" si="13"/>
        <v>4112413100332600</v>
      </c>
      <c r="AP419" s="1758" t="s">
        <v>774</v>
      </c>
      <c r="AQ419" s="1759">
        <v>4112413</v>
      </c>
      <c r="AR419" s="1758" t="s">
        <v>775</v>
      </c>
      <c r="AS419" s="1758">
        <v>40660</v>
      </c>
      <c r="AT419" s="1759">
        <v>40660</v>
      </c>
      <c r="AU419" s="1758">
        <v>1144210162</v>
      </c>
      <c r="AV419" s="1758">
        <v>1144210162</v>
      </c>
      <c r="AW419" s="1758">
        <v>100332600</v>
      </c>
      <c r="AX419" s="1758" t="s">
        <v>775</v>
      </c>
      <c r="AY419" s="1758" t="s">
        <v>775</v>
      </c>
      <c r="AZ419" s="1758" t="s">
        <v>775</v>
      </c>
      <c r="BA419" s="1758" t="s">
        <v>775</v>
      </c>
      <c r="BB419" s="1758" t="s">
        <v>775</v>
      </c>
      <c r="BC419" t="s">
        <v>775</v>
      </c>
      <c r="BD419" t="s">
        <v>775</v>
      </c>
    </row>
    <row r="420" spans="40:56" ht="12" customHeight="1">
      <c r="AN420" t="str">
        <f t="shared" si="12"/>
        <v>41125791417959875</v>
      </c>
      <c r="AO420" t="str">
        <f t="shared" si="13"/>
        <v>4112579100997200</v>
      </c>
      <c r="AP420" s="1758" t="s">
        <v>774</v>
      </c>
      <c r="AQ420" s="1759">
        <v>4112579</v>
      </c>
      <c r="AR420" s="1758" t="s">
        <v>775</v>
      </c>
      <c r="AS420" s="1758">
        <v>40370</v>
      </c>
      <c r="AT420" s="1759">
        <v>40370</v>
      </c>
      <c r="AU420" s="1758">
        <v>1417959875</v>
      </c>
      <c r="AV420" s="1758">
        <v>1417959875</v>
      </c>
      <c r="AW420" s="1758">
        <v>100997200</v>
      </c>
      <c r="AX420" s="1758" t="s">
        <v>775</v>
      </c>
      <c r="AY420" s="1758" t="s">
        <v>775</v>
      </c>
      <c r="AZ420" s="1758" t="s">
        <v>775</v>
      </c>
      <c r="BA420" s="1758" t="s">
        <v>775</v>
      </c>
      <c r="BB420" s="1758" t="s">
        <v>775</v>
      </c>
      <c r="BC420" t="s">
        <v>775</v>
      </c>
      <c r="BD420" t="s">
        <v>775</v>
      </c>
    </row>
    <row r="421" spans="40:56" ht="12" customHeight="1">
      <c r="AN421" t="str">
        <f t="shared" si="12"/>
        <v>41125951225029887</v>
      </c>
      <c r="AO421" t="str">
        <f t="shared" si="13"/>
        <v>4112595100526800</v>
      </c>
      <c r="AP421" s="1758" t="s">
        <v>774</v>
      </c>
      <c r="AQ421" s="1759">
        <v>4112595</v>
      </c>
      <c r="AR421" s="1758" t="s">
        <v>775</v>
      </c>
      <c r="AS421" s="1758">
        <v>17200</v>
      </c>
      <c r="AT421" s="1759">
        <v>17200</v>
      </c>
      <c r="AU421" s="1758">
        <v>1225029887</v>
      </c>
      <c r="AV421" s="1758">
        <v>1225029887</v>
      </c>
      <c r="AW421" s="1758">
        <v>100526800</v>
      </c>
      <c r="AX421" s="1758" t="s">
        <v>775</v>
      </c>
      <c r="AY421" s="1758" t="s">
        <v>775</v>
      </c>
      <c r="AZ421" s="1758" t="s">
        <v>775</v>
      </c>
      <c r="BA421" s="1758" t="s">
        <v>775</v>
      </c>
      <c r="BB421" s="1758" t="s">
        <v>775</v>
      </c>
      <c r="BC421" t="s">
        <v>775</v>
      </c>
      <c r="BD421" t="s">
        <v>775</v>
      </c>
    </row>
    <row r="422" spans="40:56" ht="12" customHeight="1">
      <c r="AN422" t="str">
        <f t="shared" si="12"/>
        <v>41136921245228444</v>
      </c>
      <c r="AO422" t="str">
        <f t="shared" si="13"/>
        <v>4113692100576100</v>
      </c>
      <c r="AP422" s="1758" t="s">
        <v>774</v>
      </c>
      <c r="AQ422" s="1759">
        <v>4113692</v>
      </c>
      <c r="AR422" s="1758" t="s">
        <v>775</v>
      </c>
      <c r="AS422" s="1758">
        <v>40590</v>
      </c>
      <c r="AT422" s="1759">
        <v>40590</v>
      </c>
      <c r="AU422" s="1758">
        <v>1245228444</v>
      </c>
      <c r="AV422" s="1758">
        <v>1245228444</v>
      </c>
      <c r="AW422" s="1758">
        <v>100576100</v>
      </c>
      <c r="AX422" s="1758" t="s">
        <v>775</v>
      </c>
      <c r="AY422" s="1758" t="s">
        <v>775</v>
      </c>
      <c r="AZ422" s="1758" t="s">
        <v>775</v>
      </c>
      <c r="BA422" s="1758" t="s">
        <v>775</v>
      </c>
      <c r="BB422" s="1758" t="s">
        <v>775</v>
      </c>
      <c r="BC422" t="s">
        <v>775</v>
      </c>
      <c r="BD422" t="s">
        <v>775</v>
      </c>
    </row>
    <row r="423" spans="40:56" ht="12" customHeight="1">
      <c r="AN423" t="str">
        <f t="shared" si="12"/>
        <v>41969031801969555</v>
      </c>
      <c r="AO423" t="str">
        <f t="shared" si="13"/>
        <v>4196903104572600</v>
      </c>
      <c r="AP423" s="1758" t="s">
        <v>774</v>
      </c>
      <c r="AQ423" s="1759">
        <v>4196903</v>
      </c>
      <c r="AR423" s="1758" t="s">
        <v>775</v>
      </c>
      <c r="AS423" s="1758">
        <v>18300</v>
      </c>
      <c r="AT423" s="1759">
        <v>18300</v>
      </c>
      <c r="AU423" s="1758">
        <v>1801969555</v>
      </c>
      <c r="AV423" s="1758">
        <v>1801969555</v>
      </c>
      <c r="AW423" s="1758">
        <v>104572600</v>
      </c>
      <c r="AX423" s="1758" t="s">
        <v>775</v>
      </c>
      <c r="AY423" s="1758" t="s">
        <v>775</v>
      </c>
      <c r="AZ423" s="1758" t="s">
        <v>775</v>
      </c>
      <c r="BA423" s="1758" t="s">
        <v>775</v>
      </c>
      <c r="BB423" s="1758" t="s">
        <v>775</v>
      </c>
      <c r="BC423" t="s">
        <v>775</v>
      </c>
      <c r="BD423" t="s">
        <v>775</v>
      </c>
    </row>
    <row r="424" spans="40:56" ht="12" customHeight="1">
      <c r="AN424" t="str">
        <f t="shared" si="12"/>
        <v>41140621700073194</v>
      </c>
      <c r="AO424" t="str">
        <f t="shared" si="13"/>
        <v>4114062104529500</v>
      </c>
      <c r="AP424" s="1758" t="s">
        <v>774</v>
      </c>
      <c r="AQ424" s="1759">
        <v>4114062</v>
      </c>
      <c r="AR424" s="1758" t="s">
        <v>775</v>
      </c>
      <c r="AS424" s="1758">
        <v>24900</v>
      </c>
      <c r="AT424" s="1759">
        <v>24900</v>
      </c>
      <c r="AU424" s="1758">
        <v>1700073194</v>
      </c>
      <c r="AV424" s="1758">
        <v>1700073194</v>
      </c>
      <c r="AW424" s="1758">
        <v>104529500</v>
      </c>
      <c r="AX424" s="1758" t="s">
        <v>775</v>
      </c>
      <c r="AY424" s="1758" t="s">
        <v>775</v>
      </c>
      <c r="AZ424" s="1758" t="s">
        <v>775</v>
      </c>
      <c r="BA424" s="1758" t="s">
        <v>775</v>
      </c>
      <c r="BB424" s="1758" t="s">
        <v>775</v>
      </c>
      <c r="BC424" t="s">
        <v>775</v>
      </c>
      <c r="BD424" t="s">
        <v>775</v>
      </c>
    </row>
    <row r="425" spans="40:56" ht="12" customHeight="1">
      <c r="AN425" t="str">
        <f t="shared" si="12"/>
        <v>41142111326273889</v>
      </c>
      <c r="AO425" t="str">
        <f t="shared" si="13"/>
        <v>4114211200195400</v>
      </c>
      <c r="AP425" s="1758" t="s">
        <v>774</v>
      </c>
      <c r="AQ425" s="1759">
        <v>4114211</v>
      </c>
      <c r="AR425" s="1758" t="s">
        <v>775</v>
      </c>
      <c r="AS425" s="1758">
        <v>13300</v>
      </c>
      <c r="AT425" s="1759">
        <v>13300</v>
      </c>
      <c r="AU425" s="1758">
        <v>1326273889</v>
      </c>
      <c r="AV425" s="1758">
        <v>1326273889</v>
      </c>
      <c r="AW425" s="1758">
        <v>200195400</v>
      </c>
      <c r="AX425" s="1758" t="s">
        <v>775</v>
      </c>
      <c r="AY425" s="1758" t="s">
        <v>775</v>
      </c>
      <c r="AZ425" s="1758" t="s">
        <v>775</v>
      </c>
      <c r="BA425" s="1758" t="s">
        <v>775</v>
      </c>
      <c r="BB425" s="1758" t="s">
        <v>775</v>
      </c>
      <c r="BC425" t="s">
        <v>775</v>
      </c>
      <c r="BD425" t="s">
        <v>775</v>
      </c>
    </row>
    <row r="426" spans="40:56" ht="12" customHeight="1">
      <c r="AN426" t="str">
        <f t="shared" si="12"/>
        <v>41151211275931552</v>
      </c>
      <c r="AO426" t="str">
        <f t="shared" si="13"/>
        <v>4115121204681600</v>
      </c>
      <c r="AP426" s="1758" t="s">
        <v>774</v>
      </c>
      <c r="AQ426" s="1759">
        <v>4115121</v>
      </c>
      <c r="AR426" s="1758" t="s">
        <v>775</v>
      </c>
      <c r="AS426" s="1758">
        <v>15200</v>
      </c>
      <c r="AT426" s="1759">
        <v>15200</v>
      </c>
      <c r="AU426" s="1758">
        <v>1275931552</v>
      </c>
      <c r="AV426" s="1758">
        <v>1275931552</v>
      </c>
      <c r="AW426" s="1758">
        <v>204681600</v>
      </c>
      <c r="AX426" s="1758" t="s">
        <v>775</v>
      </c>
      <c r="AY426" s="1758" t="s">
        <v>775</v>
      </c>
      <c r="AZ426" s="1758" t="s">
        <v>775</v>
      </c>
      <c r="BA426" s="1758" t="s">
        <v>775</v>
      </c>
      <c r="BB426" s="1758" t="s">
        <v>775</v>
      </c>
      <c r="BC426" t="s">
        <v>775</v>
      </c>
      <c r="BD426" t="s">
        <v>775</v>
      </c>
    </row>
    <row r="427" spans="40:56" ht="12" customHeight="1">
      <c r="AN427" t="str">
        <f t="shared" si="12"/>
        <v>41151311285032573</v>
      </c>
      <c r="AO427" t="str">
        <f t="shared" si="13"/>
        <v>4115131204749600</v>
      </c>
      <c r="AP427" s="1758" t="s">
        <v>774</v>
      </c>
      <c r="AQ427" s="1759">
        <v>4115131</v>
      </c>
      <c r="AR427" s="1758" t="s">
        <v>775</v>
      </c>
      <c r="AS427" s="1758">
        <v>40930</v>
      </c>
      <c r="AT427" s="1759">
        <v>40930</v>
      </c>
      <c r="AU427" s="1758">
        <v>1285032573</v>
      </c>
      <c r="AV427" s="1758">
        <v>1285032573</v>
      </c>
      <c r="AW427" s="1758">
        <v>204749600</v>
      </c>
      <c r="AX427" s="1758" t="s">
        <v>775</v>
      </c>
      <c r="AY427" s="1758" t="s">
        <v>775</v>
      </c>
      <c r="AZ427" s="1758" t="s">
        <v>775</v>
      </c>
      <c r="BA427" s="1758" t="s">
        <v>775</v>
      </c>
      <c r="BB427" s="1758" t="s">
        <v>775</v>
      </c>
      <c r="BC427" t="s">
        <v>775</v>
      </c>
      <c r="BD427" t="s">
        <v>775</v>
      </c>
    </row>
    <row r="428" spans="40:56" ht="12" customHeight="1">
      <c r="AN428" t="str">
        <f t="shared" si="12"/>
        <v>41151411912305202</v>
      </c>
      <c r="AO428" t="str">
        <f t="shared" si="13"/>
        <v>4115141204749200</v>
      </c>
      <c r="AP428" s="1758" t="s">
        <v>774</v>
      </c>
      <c r="AQ428" s="1759">
        <v>4115141</v>
      </c>
      <c r="AR428" s="1758" t="s">
        <v>775</v>
      </c>
      <c r="AS428" s="1758">
        <v>18200</v>
      </c>
      <c r="AT428" s="1759">
        <v>18200</v>
      </c>
      <c r="AU428" s="1758">
        <v>1912305202</v>
      </c>
      <c r="AV428" s="1758">
        <v>1912305202</v>
      </c>
      <c r="AW428" s="1758">
        <v>204749200</v>
      </c>
      <c r="AX428" s="1758" t="s">
        <v>775</v>
      </c>
      <c r="AY428" s="1758" t="s">
        <v>775</v>
      </c>
      <c r="AZ428" s="1758" t="s">
        <v>775</v>
      </c>
      <c r="BA428" s="1758" t="s">
        <v>775</v>
      </c>
      <c r="BB428" s="1758" t="s">
        <v>775</v>
      </c>
      <c r="BC428" t="s">
        <v>775</v>
      </c>
      <c r="BD428" t="s">
        <v>775</v>
      </c>
    </row>
    <row r="429" spans="40:56" ht="12" customHeight="1">
      <c r="AN429" t="str">
        <f t="shared" si="12"/>
        <v>41151511215335591</v>
      </c>
      <c r="AO429" t="str">
        <f t="shared" si="13"/>
        <v>4115151204748700</v>
      </c>
      <c r="AP429" s="1758" t="s">
        <v>774</v>
      </c>
      <c r="AQ429" s="1759">
        <v>4115151</v>
      </c>
      <c r="AR429" s="1758" t="s">
        <v>775</v>
      </c>
      <c r="AS429" s="1758">
        <v>31510</v>
      </c>
      <c r="AT429" s="1759">
        <v>31510</v>
      </c>
      <c r="AU429" s="1758">
        <v>1215335591</v>
      </c>
      <c r="AV429" s="1758">
        <v>1215335591</v>
      </c>
      <c r="AW429" s="1758">
        <v>204748700</v>
      </c>
      <c r="AX429" s="1758" t="s">
        <v>775</v>
      </c>
      <c r="AY429" s="1758" t="s">
        <v>775</v>
      </c>
      <c r="AZ429" s="1758" t="s">
        <v>775</v>
      </c>
      <c r="BA429" s="1758" t="s">
        <v>775</v>
      </c>
      <c r="BB429" s="1758" t="s">
        <v>775</v>
      </c>
      <c r="BC429" t="s">
        <v>775</v>
      </c>
      <c r="BD429" t="s">
        <v>775</v>
      </c>
    </row>
    <row r="430" spans="40:56" ht="12" customHeight="1">
      <c r="AN430" t="str">
        <f t="shared" si="12"/>
        <v>41151611437547593</v>
      </c>
      <c r="AO430" t="str">
        <f t="shared" si="13"/>
        <v>4115161204681100</v>
      </c>
      <c r="AP430" s="1758" t="s">
        <v>774</v>
      </c>
      <c r="AQ430" s="1759">
        <v>4115161</v>
      </c>
      <c r="AR430" s="1758" t="s">
        <v>775</v>
      </c>
      <c r="AS430" s="1758">
        <v>24400</v>
      </c>
      <c r="AT430" s="1759">
        <v>24400</v>
      </c>
      <c r="AU430" s="1758">
        <v>1437547593</v>
      </c>
      <c r="AV430" s="1758">
        <v>1437547593</v>
      </c>
      <c r="AW430" s="1758">
        <v>204681100</v>
      </c>
      <c r="AX430" s="1758" t="s">
        <v>775</v>
      </c>
      <c r="AY430" s="1758" t="s">
        <v>775</v>
      </c>
      <c r="AZ430" s="1758" t="s">
        <v>775</v>
      </c>
      <c r="BA430" s="1758" t="s">
        <v>775</v>
      </c>
      <c r="BB430" s="1758" t="s">
        <v>775</v>
      </c>
      <c r="BC430" t="s">
        <v>775</v>
      </c>
      <c r="BD430" t="s">
        <v>775</v>
      </c>
    </row>
    <row r="431" spans="40:56" ht="12" customHeight="1">
      <c r="AN431" t="str">
        <f t="shared" si="12"/>
        <v>41151711962800243</v>
      </c>
      <c r="AO431" t="str">
        <f t="shared" si="13"/>
        <v>4115171204681200</v>
      </c>
      <c r="AP431" s="1758" t="s">
        <v>774</v>
      </c>
      <c r="AQ431" s="1759">
        <v>4115171</v>
      </c>
      <c r="AR431" s="1758" t="s">
        <v>775</v>
      </c>
      <c r="AS431" s="1758">
        <v>13900</v>
      </c>
      <c r="AT431" s="1759">
        <v>13900</v>
      </c>
      <c r="AU431" s="1758">
        <v>1962800243</v>
      </c>
      <c r="AV431" s="1758">
        <v>1962800243</v>
      </c>
      <c r="AW431" s="1758">
        <v>204681200</v>
      </c>
      <c r="AX431" s="1758" t="s">
        <v>775</v>
      </c>
      <c r="AY431" s="1758" t="s">
        <v>775</v>
      </c>
      <c r="AZ431" s="1758" t="s">
        <v>775</v>
      </c>
      <c r="BA431" s="1758" t="s">
        <v>775</v>
      </c>
      <c r="BB431" s="1758" t="s">
        <v>775</v>
      </c>
      <c r="BC431" t="s">
        <v>775</v>
      </c>
      <c r="BD431" t="s">
        <v>775</v>
      </c>
    </row>
    <row r="432" spans="40:56" ht="12" customHeight="1">
      <c r="AN432" t="str">
        <f t="shared" si="12"/>
        <v>41145601326391582</v>
      </c>
      <c r="AO432" t="str">
        <f t="shared" si="13"/>
        <v>4114560202597400</v>
      </c>
      <c r="AP432" s="1758" t="s">
        <v>774</v>
      </c>
      <c r="AQ432" s="1759">
        <v>4114560</v>
      </c>
      <c r="AR432" s="1758" t="s">
        <v>775</v>
      </c>
      <c r="AS432" s="1758">
        <v>25050</v>
      </c>
      <c r="AT432" s="1759">
        <v>25050</v>
      </c>
      <c r="AU432" s="1758">
        <v>1326391582</v>
      </c>
      <c r="AV432" s="1758">
        <v>1326391582</v>
      </c>
      <c r="AW432" s="1758">
        <v>202597400</v>
      </c>
      <c r="AX432" s="1758" t="s">
        <v>775</v>
      </c>
      <c r="AY432" s="1758" t="s">
        <v>775</v>
      </c>
      <c r="AZ432" s="1758" t="s">
        <v>775</v>
      </c>
      <c r="BA432" s="1758" t="s">
        <v>775</v>
      </c>
      <c r="BB432" s="1758" t="s">
        <v>775</v>
      </c>
      <c r="BC432" t="s">
        <v>775</v>
      </c>
      <c r="BD432" t="s">
        <v>775</v>
      </c>
    </row>
    <row r="433" spans="40:56" ht="12" customHeight="1">
      <c r="AN433" t="str">
        <f t="shared" si="12"/>
        <v>41151811356739411</v>
      </c>
      <c r="AO433" t="str">
        <f t="shared" si="13"/>
        <v>4115181204680900</v>
      </c>
      <c r="AP433" s="1758" t="s">
        <v>774</v>
      </c>
      <c r="AQ433" s="1759">
        <v>4115181</v>
      </c>
      <c r="AR433" s="1758" t="s">
        <v>775</v>
      </c>
      <c r="AS433" s="1758">
        <v>16006</v>
      </c>
      <c r="AT433" s="1759">
        <v>16006</v>
      </c>
      <c r="AU433" s="1758">
        <v>1356739411</v>
      </c>
      <c r="AV433" s="1758">
        <v>1356739411</v>
      </c>
      <c r="AW433" s="1758">
        <v>204680900</v>
      </c>
      <c r="AX433" s="1758" t="s">
        <v>775</v>
      </c>
      <c r="AY433" s="1758" t="s">
        <v>775</v>
      </c>
      <c r="AZ433" s="1758" t="s">
        <v>775</v>
      </c>
      <c r="BA433" s="1758" t="s">
        <v>775</v>
      </c>
      <c r="BB433" s="1758" t="s">
        <v>775</v>
      </c>
      <c r="BC433" t="s">
        <v>775</v>
      </c>
      <c r="BD433" t="s">
        <v>775</v>
      </c>
    </row>
    <row r="434" spans="40:56" ht="12" customHeight="1">
      <c r="AN434" t="str">
        <f t="shared" si="12"/>
        <v>41152011932507225</v>
      </c>
      <c r="AO434" t="str">
        <f t="shared" si="13"/>
        <v>4115201204750000</v>
      </c>
      <c r="AP434" s="1758" t="s">
        <v>774</v>
      </c>
      <c r="AQ434" s="1759">
        <v>4115201</v>
      </c>
      <c r="AR434" s="1758" t="s">
        <v>775</v>
      </c>
      <c r="AS434" s="1758">
        <v>21300</v>
      </c>
      <c r="AT434" s="1759">
        <v>21300</v>
      </c>
      <c r="AU434" s="1758">
        <v>1932507225</v>
      </c>
      <c r="AV434" s="1758">
        <v>1932507225</v>
      </c>
      <c r="AW434" s="1758">
        <v>204750000</v>
      </c>
      <c r="AX434" s="1758" t="s">
        <v>775</v>
      </c>
      <c r="AY434" s="1758" t="s">
        <v>775</v>
      </c>
      <c r="AZ434" s="1758">
        <v>45</v>
      </c>
      <c r="BA434" s="1758" t="s">
        <v>775</v>
      </c>
      <c r="BB434" s="1758" t="s">
        <v>775</v>
      </c>
      <c r="BC434" t="s">
        <v>775</v>
      </c>
      <c r="BD434" t="s">
        <v>775</v>
      </c>
    </row>
    <row r="435" spans="40:56" ht="12" customHeight="1">
      <c r="AN435" t="str">
        <f t="shared" si="12"/>
        <v>41152111245638543</v>
      </c>
      <c r="AO435" t="str">
        <f t="shared" si="13"/>
        <v>4115211204681400</v>
      </c>
      <c r="AP435" s="1758" t="s">
        <v>774</v>
      </c>
      <c r="AQ435" s="1759">
        <v>4115211</v>
      </c>
      <c r="AR435" s="1758" t="s">
        <v>775</v>
      </c>
      <c r="AS435" s="1758">
        <v>13700</v>
      </c>
      <c r="AT435" s="1759">
        <v>13700</v>
      </c>
      <c r="AU435" s="1758">
        <v>1245638543</v>
      </c>
      <c r="AV435" s="1758">
        <v>1245638543</v>
      </c>
      <c r="AW435" s="1758">
        <v>204681400</v>
      </c>
      <c r="AX435" s="1758" t="s">
        <v>775</v>
      </c>
      <c r="AY435" s="1758" t="s">
        <v>775</v>
      </c>
      <c r="AZ435" s="1758" t="s">
        <v>775</v>
      </c>
      <c r="BA435" s="1758" t="s">
        <v>775</v>
      </c>
      <c r="BB435" s="1758" t="s">
        <v>775</v>
      </c>
      <c r="BC435" t="s">
        <v>775</v>
      </c>
      <c r="BD435" t="s">
        <v>775</v>
      </c>
    </row>
    <row r="436" spans="40:56" ht="12" customHeight="1">
      <c r="AN436" t="str">
        <f t="shared" si="12"/>
        <v>41152211629476916</v>
      </c>
      <c r="AO436" t="str">
        <f t="shared" si="13"/>
        <v>4115221204749900</v>
      </c>
      <c r="AP436" s="1758" t="s">
        <v>774</v>
      </c>
      <c r="AQ436" s="1759">
        <v>4115221</v>
      </c>
      <c r="AR436" s="1758" t="s">
        <v>775</v>
      </c>
      <c r="AS436" s="1758">
        <v>21800</v>
      </c>
      <c r="AT436" s="1759">
        <v>21800</v>
      </c>
      <c r="AU436" s="1758">
        <v>1629476916</v>
      </c>
      <c r="AV436" s="1758">
        <v>1629476916</v>
      </c>
      <c r="AW436" s="1758">
        <v>204749900</v>
      </c>
      <c r="AX436" s="1758" t="s">
        <v>775</v>
      </c>
      <c r="AY436" s="1758" t="s">
        <v>775</v>
      </c>
      <c r="AZ436" s="1758" t="s">
        <v>775</v>
      </c>
      <c r="BA436" s="1758" t="s">
        <v>775</v>
      </c>
      <c r="BB436" s="1758" t="s">
        <v>775</v>
      </c>
      <c r="BC436" t="s">
        <v>775</v>
      </c>
      <c r="BD436" t="s">
        <v>775</v>
      </c>
    </row>
    <row r="437" spans="40:56" ht="12" customHeight="1">
      <c r="AN437" t="str">
        <f t="shared" si="12"/>
        <v>41152311437557725</v>
      </c>
      <c r="AO437" t="str">
        <f t="shared" si="13"/>
        <v>4115231204681700</v>
      </c>
      <c r="AP437" s="1758" t="s">
        <v>774</v>
      </c>
      <c r="AQ437" s="1759">
        <v>4115231</v>
      </c>
      <c r="AR437" s="1758" t="s">
        <v>775</v>
      </c>
      <c r="AS437" s="1758">
        <v>16400</v>
      </c>
      <c r="AT437" s="1759">
        <v>16400</v>
      </c>
      <c r="AU437" s="1758">
        <v>1437557725</v>
      </c>
      <c r="AV437" s="1758">
        <v>1437557725</v>
      </c>
      <c r="AW437" s="1758">
        <v>204681700</v>
      </c>
      <c r="AX437" s="1758" t="s">
        <v>775</v>
      </c>
      <c r="AY437" s="1758" t="s">
        <v>775</v>
      </c>
      <c r="AZ437" s="1758" t="s">
        <v>775</v>
      </c>
      <c r="BA437" s="1758" t="s">
        <v>775</v>
      </c>
      <c r="BB437" s="1758" t="s">
        <v>775</v>
      </c>
      <c r="BC437" t="s">
        <v>775</v>
      </c>
      <c r="BD437" t="s">
        <v>775</v>
      </c>
    </row>
    <row r="438" spans="40:56" ht="12" customHeight="1">
      <c r="AN438" t="str">
        <f t="shared" si="12"/>
        <v>41139571760439467</v>
      </c>
      <c r="AO438" t="str">
        <f t="shared" si="13"/>
        <v>4113957101830100</v>
      </c>
      <c r="AP438" s="1758" t="s">
        <v>774</v>
      </c>
      <c r="AQ438" s="1759">
        <v>4113957</v>
      </c>
      <c r="AR438" s="1758" t="s">
        <v>775</v>
      </c>
      <c r="AS438" s="1758">
        <v>7600</v>
      </c>
      <c r="AT438" s="1759">
        <v>7600</v>
      </c>
      <c r="AU438" s="1758">
        <v>1760439467</v>
      </c>
      <c r="AV438" s="1758">
        <v>1760439467</v>
      </c>
      <c r="AW438" s="1758">
        <v>101830100</v>
      </c>
      <c r="AX438" s="1758" t="s">
        <v>775</v>
      </c>
      <c r="AY438" s="1758" t="s">
        <v>775</v>
      </c>
      <c r="AZ438" s="1758" t="s">
        <v>775</v>
      </c>
      <c r="BA438" s="1758" t="s">
        <v>775</v>
      </c>
      <c r="BB438" s="1758" t="s">
        <v>775</v>
      </c>
      <c r="BC438" t="s">
        <v>775</v>
      </c>
      <c r="BD438" t="s">
        <v>775</v>
      </c>
    </row>
    <row r="439" spans="40:56" ht="12" customHeight="1">
      <c r="AN439" t="str">
        <f t="shared" si="12"/>
        <v>41139651902892615</v>
      </c>
      <c r="AO439" t="str">
        <f t="shared" si="13"/>
        <v>4113965102181600</v>
      </c>
      <c r="AP439" s="1758" t="s">
        <v>774</v>
      </c>
      <c r="AQ439" s="1759">
        <v>4113965</v>
      </c>
      <c r="AR439" s="1758" t="s">
        <v>775</v>
      </c>
      <c r="AS439" s="1758">
        <v>5600</v>
      </c>
      <c r="AT439" s="1759">
        <v>5600</v>
      </c>
      <c r="AU439" s="1758">
        <v>1902892615</v>
      </c>
      <c r="AV439" s="1758">
        <v>1902892615</v>
      </c>
      <c r="AW439" s="1758">
        <v>102181600</v>
      </c>
      <c r="AX439" s="1758" t="s">
        <v>775</v>
      </c>
      <c r="AY439" s="1758" t="s">
        <v>775</v>
      </c>
      <c r="AZ439" s="1758" t="s">
        <v>775</v>
      </c>
      <c r="BA439" s="1758" t="s">
        <v>775</v>
      </c>
      <c r="BB439" s="1758" t="s">
        <v>775</v>
      </c>
      <c r="BC439" t="s">
        <v>775</v>
      </c>
      <c r="BD439" t="s">
        <v>775</v>
      </c>
    </row>
    <row r="440" spans="40:56" ht="12" customHeight="1">
      <c r="AN440" t="str">
        <f t="shared" si="12"/>
        <v>41134291558360024</v>
      </c>
      <c r="AO440" t="str">
        <f t="shared" si="13"/>
        <v>4113429101320000</v>
      </c>
      <c r="AP440" s="1758" t="s">
        <v>774</v>
      </c>
      <c r="AQ440" s="1759">
        <v>4113429</v>
      </c>
      <c r="AR440" s="1758" t="s">
        <v>775</v>
      </c>
      <c r="AS440" s="1758">
        <v>10100</v>
      </c>
      <c r="AT440" s="1759">
        <v>10100</v>
      </c>
      <c r="AU440" s="1758">
        <v>1558360024</v>
      </c>
      <c r="AV440" s="1758">
        <v>1558360024</v>
      </c>
      <c r="AW440" s="1758">
        <v>101320000</v>
      </c>
      <c r="AX440" s="1758" t="s">
        <v>775</v>
      </c>
      <c r="AY440" s="1758" t="s">
        <v>775</v>
      </c>
      <c r="AZ440" s="1758" t="s">
        <v>775</v>
      </c>
      <c r="BA440" s="1758" t="s">
        <v>775</v>
      </c>
      <c r="BB440" s="1758" t="s">
        <v>775</v>
      </c>
      <c r="BC440" t="s">
        <v>775</v>
      </c>
      <c r="BD440" t="s">
        <v>775</v>
      </c>
    </row>
    <row r="441" spans="40:56" ht="12" customHeight="1">
      <c r="AN441" t="str">
        <f t="shared" si="12"/>
        <v>41139991881796258</v>
      </c>
      <c r="AO441" t="str">
        <f t="shared" si="13"/>
        <v>4113999102143800</v>
      </c>
      <c r="AP441" s="1758" t="s">
        <v>774</v>
      </c>
      <c r="AQ441" s="1759">
        <v>4113999</v>
      </c>
      <c r="AR441" s="1758" t="s">
        <v>775</v>
      </c>
      <c r="AS441" s="1758">
        <v>32400</v>
      </c>
      <c r="AT441" s="1759">
        <v>32400</v>
      </c>
      <c r="AU441" s="1758">
        <v>1881796258</v>
      </c>
      <c r="AV441" s="1758">
        <v>1881796258</v>
      </c>
      <c r="AW441" s="1758">
        <v>102143800</v>
      </c>
      <c r="AX441" s="1758" t="s">
        <v>775</v>
      </c>
      <c r="AY441" s="1758" t="s">
        <v>775</v>
      </c>
      <c r="AZ441" s="1758" t="s">
        <v>775</v>
      </c>
      <c r="BA441" s="1758" t="s">
        <v>775</v>
      </c>
      <c r="BB441" s="1758" t="s">
        <v>775</v>
      </c>
      <c r="BC441" t="s">
        <v>775</v>
      </c>
      <c r="BD441" t="s">
        <v>775</v>
      </c>
    </row>
    <row r="442" spans="40:56" ht="12" customHeight="1">
      <c r="AN442" t="str">
        <f t="shared" si="12"/>
        <v>41144191710933999</v>
      </c>
      <c r="AO442" t="str">
        <f t="shared" si="13"/>
        <v>4114419101714800</v>
      </c>
      <c r="AP442" s="1758" t="s">
        <v>774</v>
      </c>
      <c r="AQ442" s="1759">
        <v>4114419</v>
      </c>
      <c r="AR442" s="1758" t="s">
        <v>775</v>
      </c>
      <c r="AS442" s="1758">
        <v>25060</v>
      </c>
      <c r="AT442" s="1759">
        <v>25060</v>
      </c>
      <c r="AU442" s="1758">
        <v>1710933999</v>
      </c>
      <c r="AV442" s="1758">
        <v>1710933999</v>
      </c>
      <c r="AW442" s="1758">
        <v>101714800</v>
      </c>
      <c r="AX442" s="1758" t="s">
        <v>775</v>
      </c>
      <c r="AY442" s="1758" t="s">
        <v>775</v>
      </c>
      <c r="AZ442" s="1758" t="s">
        <v>775</v>
      </c>
      <c r="BA442" s="1758" t="s">
        <v>775</v>
      </c>
      <c r="BB442" s="1758" t="s">
        <v>775</v>
      </c>
      <c r="BC442" t="s">
        <v>775</v>
      </c>
      <c r="BD442" t="s">
        <v>775</v>
      </c>
    </row>
    <row r="443" spans="40:56" ht="12" customHeight="1">
      <c r="AN443" t="str">
        <f t="shared" si="12"/>
        <v>41144271982651758</v>
      </c>
      <c r="AO443" t="str">
        <f t="shared" si="13"/>
        <v>4114427102369100</v>
      </c>
      <c r="AP443" s="1758" t="s">
        <v>774</v>
      </c>
      <c r="AQ443" s="1759">
        <v>4114427</v>
      </c>
      <c r="AR443" s="1758" t="s">
        <v>775</v>
      </c>
      <c r="AS443" s="1758">
        <v>39950</v>
      </c>
      <c r="AT443" s="1759">
        <v>39950</v>
      </c>
      <c r="AU443" s="1758">
        <v>1982651758</v>
      </c>
      <c r="AV443" s="1758">
        <v>1982651758</v>
      </c>
      <c r="AW443" s="1758">
        <v>102369100</v>
      </c>
      <c r="AX443" s="1758" t="s">
        <v>775</v>
      </c>
      <c r="AY443" s="1758" t="s">
        <v>775</v>
      </c>
      <c r="AZ443" s="1758" t="s">
        <v>775</v>
      </c>
      <c r="BA443" s="1758" t="s">
        <v>775</v>
      </c>
      <c r="BB443" s="1758" t="s">
        <v>775</v>
      </c>
      <c r="BC443" t="s">
        <v>775</v>
      </c>
      <c r="BD443" t="s">
        <v>775</v>
      </c>
    </row>
    <row r="444" spans="40:56" ht="12" customHeight="1">
      <c r="AN444" t="str">
        <f t="shared" si="12"/>
        <v>41116471851348460</v>
      </c>
      <c r="AO444" t="str">
        <f t="shared" si="13"/>
        <v>4111647102054500</v>
      </c>
      <c r="AP444" s="1758" t="s">
        <v>774</v>
      </c>
      <c r="AQ444" s="1759">
        <v>4111647</v>
      </c>
      <c r="AR444" s="1758" t="s">
        <v>987</v>
      </c>
      <c r="AS444" s="1758">
        <v>40490</v>
      </c>
      <c r="AT444" s="1759">
        <v>40490</v>
      </c>
      <c r="AU444" s="1758">
        <v>1851348460</v>
      </c>
      <c r="AV444" s="1758">
        <v>1851348460</v>
      </c>
      <c r="AW444" s="1758">
        <v>102054500</v>
      </c>
      <c r="AX444" s="1758" t="s">
        <v>775</v>
      </c>
      <c r="AY444" s="1758" t="s">
        <v>775</v>
      </c>
      <c r="AZ444" s="1758" t="s">
        <v>775</v>
      </c>
      <c r="BA444" s="1758" t="s">
        <v>775</v>
      </c>
      <c r="BB444" s="1758" t="s">
        <v>775</v>
      </c>
      <c r="BC444" t="s">
        <v>775</v>
      </c>
      <c r="BD444" t="s">
        <v>775</v>
      </c>
    </row>
    <row r="445" spans="40:56" ht="12" customHeight="1">
      <c r="AN445" t="str">
        <f t="shared" si="12"/>
        <v>41144351568402295</v>
      </c>
      <c r="AO445" t="str">
        <f t="shared" si="13"/>
        <v>4114435101335500</v>
      </c>
      <c r="AP445" s="1758" t="s">
        <v>774</v>
      </c>
      <c r="AQ445" s="1759">
        <v>4114435</v>
      </c>
      <c r="AR445" s="1758" t="s">
        <v>775</v>
      </c>
      <c r="AS445" s="1758">
        <v>10800</v>
      </c>
      <c r="AT445" s="1759">
        <v>10800</v>
      </c>
      <c r="AU445" s="1758">
        <v>1568402295</v>
      </c>
      <c r="AV445" s="1758">
        <v>1568402295</v>
      </c>
      <c r="AW445" s="1758">
        <v>101335500</v>
      </c>
      <c r="AX445" s="1758" t="s">
        <v>775</v>
      </c>
      <c r="AY445" s="1758" t="s">
        <v>775</v>
      </c>
      <c r="AZ445" s="1758" t="s">
        <v>775</v>
      </c>
      <c r="BA445" s="1758" t="s">
        <v>775</v>
      </c>
      <c r="BB445" s="1758" t="s">
        <v>775</v>
      </c>
      <c r="BC445" t="s">
        <v>775</v>
      </c>
      <c r="BD445" t="s">
        <v>775</v>
      </c>
    </row>
    <row r="446" spans="40:56" ht="12" customHeight="1">
      <c r="AN446" t="str">
        <f t="shared" si="12"/>
        <v>41130641386639433</v>
      </c>
      <c r="AO446" t="str">
        <f t="shared" si="13"/>
        <v>4113064100914000</v>
      </c>
      <c r="AP446" s="1758" t="s">
        <v>774</v>
      </c>
      <c r="AQ446" s="1759">
        <v>4113064</v>
      </c>
      <c r="AR446" s="1758" t="s">
        <v>775</v>
      </c>
      <c r="AS446" s="1758">
        <v>23100</v>
      </c>
      <c r="AT446" s="1759">
        <v>23100</v>
      </c>
      <c r="AU446" s="1758">
        <v>1386639433</v>
      </c>
      <c r="AV446" s="1758">
        <v>1386639433</v>
      </c>
      <c r="AW446" s="1758">
        <v>100914000</v>
      </c>
      <c r="AX446" s="1758" t="s">
        <v>775</v>
      </c>
      <c r="AY446" s="1758" t="s">
        <v>775</v>
      </c>
      <c r="AZ446" s="1758" t="s">
        <v>775</v>
      </c>
      <c r="BA446" s="1758" t="s">
        <v>775</v>
      </c>
      <c r="BB446" s="1758" t="s">
        <v>775</v>
      </c>
      <c r="BC446" t="s">
        <v>775</v>
      </c>
      <c r="BD446" t="s">
        <v>775</v>
      </c>
    </row>
    <row r="447" spans="40:56" ht="12" customHeight="1">
      <c r="AN447" t="str">
        <f t="shared" si="12"/>
        <v>41145351528316452</v>
      </c>
      <c r="AO447" t="str">
        <f t="shared" si="13"/>
        <v>4114535202251700</v>
      </c>
      <c r="AP447" s="1758" t="s">
        <v>774</v>
      </c>
      <c r="AQ447" s="1759">
        <v>4114535</v>
      </c>
      <c r="AR447" s="1758" t="s">
        <v>775</v>
      </c>
      <c r="AS447" s="1758">
        <v>20100</v>
      </c>
      <c r="AT447" s="1759">
        <v>20100</v>
      </c>
      <c r="AU447" s="1758">
        <v>1528316452</v>
      </c>
      <c r="AV447" s="1758">
        <v>1528316452</v>
      </c>
      <c r="AW447" s="1758">
        <v>202251700</v>
      </c>
      <c r="AX447" s="1758" t="s">
        <v>775</v>
      </c>
      <c r="AY447" s="1758" t="s">
        <v>775</v>
      </c>
      <c r="AZ447" s="1758" t="s">
        <v>775</v>
      </c>
      <c r="BA447" s="1758" t="s">
        <v>775</v>
      </c>
      <c r="BB447" s="1758" t="s">
        <v>775</v>
      </c>
      <c r="BC447" t="s">
        <v>775</v>
      </c>
      <c r="BD447" t="s">
        <v>775</v>
      </c>
    </row>
    <row r="448" spans="40:56" ht="12" customHeight="1">
      <c r="AN448" t="str">
        <f t="shared" si="12"/>
        <v>41142781215966312</v>
      </c>
      <c r="AO448" t="str">
        <f t="shared" si="13"/>
        <v>4114278200574800</v>
      </c>
      <c r="AP448" s="1758" t="s">
        <v>774</v>
      </c>
      <c r="AQ448" s="1759">
        <v>4114278</v>
      </c>
      <c r="AR448" s="1758" t="s">
        <v>775</v>
      </c>
      <c r="AS448" s="1758">
        <v>15700</v>
      </c>
      <c r="AT448" s="1759">
        <v>15700</v>
      </c>
      <c r="AU448" s="1758">
        <v>1215966312</v>
      </c>
      <c r="AV448" s="1758">
        <v>1215966312</v>
      </c>
      <c r="AW448" s="1758">
        <v>200574800</v>
      </c>
      <c r="AX448" s="1758" t="s">
        <v>775</v>
      </c>
      <c r="AY448" s="1758" t="s">
        <v>775</v>
      </c>
      <c r="AZ448" s="1758" t="s">
        <v>775</v>
      </c>
      <c r="BA448" s="1758" t="s">
        <v>775</v>
      </c>
      <c r="BB448" s="1758" t="s">
        <v>775</v>
      </c>
      <c r="BC448" t="s">
        <v>775</v>
      </c>
      <c r="BD448" t="s">
        <v>775</v>
      </c>
    </row>
    <row r="449" spans="40:56" ht="12" customHeight="1">
      <c r="AN449" t="str">
        <f t="shared" si="12"/>
        <v>41142941508964719</v>
      </c>
      <c r="AO449" t="str">
        <f t="shared" si="13"/>
        <v>4114294200574500</v>
      </c>
      <c r="AP449" s="1758" t="s">
        <v>774</v>
      </c>
      <c r="AQ449" s="1759">
        <v>4114294</v>
      </c>
      <c r="AR449" s="1758" t="s">
        <v>775</v>
      </c>
      <c r="AS449" s="1758">
        <v>2400</v>
      </c>
      <c r="AT449" s="1759">
        <v>2400</v>
      </c>
      <c r="AU449" s="1758">
        <v>1508964719</v>
      </c>
      <c r="AV449" s="1758">
        <v>1508964719</v>
      </c>
      <c r="AW449" s="1758">
        <v>200574500</v>
      </c>
      <c r="AX449" s="1758" t="s">
        <v>775</v>
      </c>
      <c r="AY449" s="1758" t="s">
        <v>775</v>
      </c>
      <c r="AZ449" s="1758" t="s">
        <v>775</v>
      </c>
      <c r="BA449" s="1758" t="s">
        <v>775</v>
      </c>
      <c r="BB449" s="1758" t="s">
        <v>775</v>
      </c>
      <c r="BC449" t="s">
        <v>775</v>
      </c>
      <c r="BD449" t="s">
        <v>775</v>
      </c>
    </row>
    <row r="450" spans="40:56" ht="12" customHeight="1">
      <c r="AN450" t="str">
        <f t="shared" si="12"/>
        <v>41144921033475769</v>
      </c>
      <c r="AO450" t="str">
        <f t="shared" si="13"/>
        <v>4114492202207700</v>
      </c>
      <c r="AP450" s="1758" t="s">
        <v>774</v>
      </c>
      <c r="AQ450" s="1759">
        <v>4114492</v>
      </c>
      <c r="AR450" s="1758" t="s">
        <v>775</v>
      </c>
      <c r="AS450" s="1758">
        <v>40360</v>
      </c>
      <c r="AT450" s="1759">
        <v>40360</v>
      </c>
      <c r="AU450" s="1758">
        <v>1033475769</v>
      </c>
      <c r="AV450" s="1758">
        <v>1033475769</v>
      </c>
      <c r="AW450" s="1758">
        <v>202207700</v>
      </c>
      <c r="AX450" s="1758" t="s">
        <v>775</v>
      </c>
      <c r="AY450" s="1758" t="s">
        <v>775</v>
      </c>
      <c r="AZ450" s="1758" t="s">
        <v>775</v>
      </c>
      <c r="BA450" s="1758" t="s">
        <v>775</v>
      </c>
      <c r="BB450" s="1758" t="s">
        <v>775</v>
      </c>
      <c r="BC450" t="s">
        <v>775</v>
      </c>
      <c r="BD450" t="s">
        <v>775</v>
      </c>
    </row>
    <row r="451" spans="40:56" ht="12" customHeight="1">
      <c r="AN451" t="str">
        <f t="shared" si="12"/>
        <v>41127851336247584</v>
      </c>
      <c r="AO451" t="str">
        <f t="shared" si="13"/>
        <v>4112785100807400</v>
      </c>
      <c r="AP451" s="1758" t="s">
        <v>774</v>
      </c>
      <c r="AQ451" s="1759">
        <v>4112785</v>
      </c>
      <c r="AR451" s="1758" t="s">
        <v>775</v>
      </c>
      <c r="AS451" s="1758">
        <v>31550</v>
      </c>
      <c r="AT451" s="1760">
        <v>31550</v>
      </c>
      <c r="AU451" s="1758">
        <v>1336247584</v>
      </c>
      <c r="AV451" s="1758">
        <v>1336247584</v>
      </c>
      <c r="AW451" s="1758">
        <v>100807400</v>
      </c>
      <c r="AX451" s="1758" t="s">
        <v>775</v>
      </c>
      <c r="AY451" s="1758" t="s">
        <v>775</v>
      </c>
      <c r="AZ451" s="1758" t="s">
        <v>775</v>
      </c>
      <c r="BA451" s="1758" t="s">
        <v>775</v>
      </c>
      <c r="BB451" s="1758" t="s">
        <v>775</v>
      </c>
      <c r="BC451" t="s">
        <v>775</v>
      </c>
      <c r="BD451" t="s">
        <v>775</v>
      </c>
    </row>
    <row r="452" spans="40:56" ht="12" customHeight="1">
      <c r="AN452" t="str">
        <f t="shared" si="12"/>
        <v>41130981932157641</v>
      </c>
      <c r="AO452" t="str">
        <f t="shared" si="13"/>
        <v>4113098102250600</v>
      </c>
      <c r="AP452" s="1758" t="s">
        <v>774</v>
      </c>
      <c r="AQ452" s="1759">
        <v>4113098</v>
      </c>
      <c r="AR452" s="1758" t="s">
        <v>775</v>
      </c>
      <c r="AS452" s="1758">
        <v>22900</v>
      </c>
      <c r="AT452" s="1760">
        <v>22900</v>
      </c>
      <c r="AU452" s="1758">
        <v>1932157641</v>
      </c>
      <c r="AV452" s="1758">
        <v>1932157641</v>
      </c>
      <c r="AW452" s="1758">
        <v>102250600</v>
      </c>
      <c r="AX452" s="1758" t="s">
        <v>775</v>
      </c>
      <c r="AY452" s="1758" t="s">
        <v>775</v>
      </c>
      <c r="AZ452" s="1758">
        <v>45</v>
      </c>
      <c r="BA452" s="1758">
        <v>50</v>
      </c>
      <c r="BB452" s="1758" t="s">
        <v>775</v>
      </c>
      <c r="BC452" t="s">
        <v>775</v>
      </c>
      <c r="BD452" t="s">
        <v>775</v>
      </c>
    </row>
    <row r="453" spans="40:56" ht="12" customHeight="1">
      <c r="AN453" t="str">
        <f aca="true" t="shared" si="14" ref="AN453:AN516">AQ453&amp;AU453</f>
        <v>41241031619934999</v>
      </c>
      <c r="AO453" t="str">
        <f aca="true" t="shared" si="15" ref="AO453:AO516">AQ453&amp;AW453</f>
        <v>4124103101474400</v>
      </c>
      <c r="AP453" s="1758" t="s">
        <v>774</v>
      </c>
      <c r="AQ453" s="1759">
        <v>4124103</v>
      </c>
      <c r="AR453" s="1758" t="s">
        <v>775</v>
      </c>
      <c r="AS453" s="1758">
        <v>3600</v>
      </c>
      <c r="AT453" s="1760">
        <v>3600</v>
      </c>
      <c r="AU453" s="1758">
        <v>1619934999</v>
      </c>
      <c r="AV453" s="1758">
        <v>1619934999</v>
      </c>
      <c r="AW453" s="1758">
        <v>101474400</v>
      </c>
      <c r="AX453" s="1758" t="s">
        <v>775</v>
      </c>
      <c r="AY453" s="1758" t="s">
        <v>775</v>
      </c>
      <c r="AZ453" s="1758" t="s">
        <v>775</v>
      </c>
      <c r="BA453" s="1758" t="s">
        <v>775</v>
      </c>
      <c r="BB453" s="1758" t="s">
        <v>775</v>
      </c>
      <c r="BC453" t="s">
        <v>775</v>
      </c>
      <c r="BD453" t="s">
        <v>775</v>
      </c>
    </row>
    <row r="454" spans="40:54" ht="12" customHeight="1">
      <c r="AN454" t="str">
        <f t="shared" si="14"/>
        <v>41132471427006220</v>
      </c>
      <c r="AO454" t="str">
        <f t="shared" si="15"/>
        <v>4113247101003600</v>
      </c>
      <c r="AP454" s="1758" t="s">
        <v>904</v>
      </c>
      <c r="AQ454" s="1759">
        <v>4113247</v>
      </c>
      <c r="AR454" s="1758"/>
      <c r="AS454" s="1758">
        <v>40700</v>
      </c>
      <c r="AT454" s="1760">
        <v>40700</v>
      </c>
      <c r="AU454" s="1758">
        <v>1427006220</v>
      </c>
      <c r="AV454" s="1758">
        <v>1427006220</v>
      </c>
      <c r="AW454" s="1758">
        <v>101003600</v>
      </c>
      <c r="AX454" s="1758"/>
      <c r="AY454" s="1758"/>
      <c r="AZ454" s="1758"/>
      <c r="BA454" s="1758"/>
      <c r="BB454" s="1758" t="s">
        <v>775</v>
      </c>
    </row>
    <row r="455" spans="40:56" ht="12" customHeight="1">
      <c r="AN455" t="str">
        <f t="shared" si="14"/>
        <v>4111357NULL</v>
      </c>
      <c r="AO455" t="str">
        <f t="shared" si="15"/>
        <v>4111357NULL</v>
      </c>
      <c r="AP455" s="1758" t="s">
        <v>774</v>
      </c>
      <c r="AQ455" s="1759">
        <v>4111357</v>
      </c>
      <c r="AR455" s="1758" t="s">
        <v>775</v>
      </c>
      <c r="AS455" s="1758">
        <v>5200</v>
      </c>
      <c r="AT455" s="1760">
        <v>5200</v>
      </c>
      <c r="AU455" s="1758" t="s">
        <v>775</v>
      </c>
      <c r="AV455" s="1758">
        <v>0</v>
      </c>
      <c r="AW455" s="1758" t="s">
        <v>775</v>
      </c>
      <c r="AX455" s="1758" t="s">
        <v>775</v>
      </c>
      <c r="AY455" s="1758" t="s">
        <v>775</v>
      </c>
      <c r="AZ455" s="1758" t="s">
        <v>775</v>
      </c>
      <c r="BA455" s="1758" t="s">
        <v>775</v>
      </c>
      <c r="BB455" s="1758" t="s">
        <v>775</v>
      </c>
      <c r="BC455" t="s">
        <v>775</v>
      </c>
      <c r="BD455" t="s">
        <v>775</v>
      </c>
    </row>
    <row r="456" spans="40:56" ht="12" customHeight="1">
      <c r="AN456" t="str">
        <f t="shared" si="14"/>
        <v>4111332NULL</v>
      </c>
      <c r="AO456" t="str">
        <f t="shared" si="15"/>
        <v>4111332NULL</v>
      </c>
      <c r="AP456" s="1758" t="s">
        <v>774</v>
      </c>
      <c r="AQ456" s="1759">
        <v>4111332</v>
      </c>
      <c r="AR456" s="1758" t="s">
        <v>987</v>
      </c>
      <c r="AS456" s="1758">
        <v>35900</v>
      </c>
      <c r="AT456" s="1760">
        <v>35900</v>
      </c>
      <c r="AU456" s="1758" t="s">
        <v>775</v>
      </c>
      <c r="AV456" s="1758">
        <v>0</v>
      </c>
      <c r="AW456" s="1758" t="s">
        <v>775</v>
      </c>
      <c r="AX456" s="1758" t="s">
        <v>775</v>
      </c>
      <c r="AY456" s="1758" t="s">
        <v>775</v>
      </c>
      <c r="AZ456" s="1758" t="s">
        <v>775</v>
      </c>
      <c r="BA456" s="1758" t="s">
        <v>775</v>
      </c>
      <c r="BB456" s="1758" t="s">
        <v>775</v>
      </c>
      <c r="BC456" t="s">
        <v>775</v>
      </c>
      <c r="BD456" t="s">
        <v>775</v>
      </c>
    </row>
    <row r="457" spans="40:56" ht="12" customHeight="1">
      <c r="AN457" t="str">
        <f t="shared" si="14"/>
        <v>41121571326033622</v>
      </c>
      <c r="AO457" t="str">
        <f t="shared" si="15"/>
        <v>4112157NULL</v>
      </c>
      <c r="AP457" s="1758" t="s">
        <v>774</v>
      </c>
      <c r="AQ457" s="1759">
        <v>4112157</v>
      </c>
      <c r="AR457" s="1758" t="s">
        <v>775</v>
      </c>
      <c r="AS457" s="1758">
        <v>23400</v>
      </c>
      <c r="AT457" s="1760">
        <v>23400</v>
      </c>
      <c r="AU457" s="1758">
        <v>1326033622</v>
      </c>
      <c r="AV457" s="1758">
        <v>1326033622</v>
      </c>
      <c r="AW457" s="1758" t="s">
        <v>775</v>
      </c>
      <c r="AX457" s="1758" t="s">
        <v>775</v>
      </c>
      <c r="AY457" s="1758" t="s">
        <v>775</v>
      </c>
      <c r="AZ457" s="1758" t="s">
        <v>775</v>
      </c>
      <c r="BA457" s="1758" t="s">
        <v>775</v>
      </c>
      <c r="BB457" s="1758" t="s">
        <v>775</v>
      </c>
      <c r="BC457" t="s">
        <v>775</v>
      </c>
      <c r="BD457" t="s">
        <v>775</v>
      </c>
    </row>
    <row r="458" spans="40:56" ht="12" customHeight="1">
      <c r="AN458" t="str">
        <f t="shared" si="14"/>
        <v>4111498NULL</v>
      </c>
      <c r="AO458" t="str">
        <f t="shared" si="15"/>
        <v>4111498NULL</v>
      </c>
      <c r="AP458" s="1758" t="s">
        <v>774</v>
      </c>
      <c r="AQ458" s="1759">
        <v>4111498</v>
      </c>
      <c r="AR458" s="1758" t="s">
        <v>775</v>
      </c>
      <c r="AS458" s="1758">
        <v>6300</v>
      </c>
      <c r="AT458" s="1760">
        <v>6300</v>
      </c>
      <c r="AU458" s="1758" t="s">
        <v>775</v>
      </c>
      <c r="AV458" s="1758">
        <v>0</v>
      </c>
      <c r="AW458" s="1758" t="s">
        <v>775</v>
      </c>
      <c r="AX458" s="1758" t="s">
        <v>775</v>
      </c>
      <c r="AY458" s="1758" t="s">
        <v>775</v>
      </c>
      <c r="AZ458" s="1758" t="s">
        <v>775</v>
      </c>
      <c r="BA458" s="1758" t="s">
        <v>775</v>
      </c>
      <c r="BB458" s="1758" t="s">
        <v>775</v>
      </c>
      <c r="BC458" t="s">
        <v>775</v>
      </c>
      <c r="BD458" t="s">
        <v>775</v>
      </c>
    </row>
    <row r="459" spans="40:56" ht="12" customHeight="1">
      <c r="AN459" t="str">
        <f t="shared" si="14"/>
        <v>4111043NULL</v>
      </c>
      <c r="AO459" t="str">
        <f t="shared" si="15"/>
        <v>4111043NULL</v>
      </c>
      <c r="AP459" s="1758" t="s">
        <v>774</v>
      </c>
      <c r="AQ459" s="1759">
        <v>4111043</v>
      </c>
      <c r="AR459" s="1758" t="s">
        <v>775</v>
      </c>
      <c r="AS459" s="1758">
        <v>13800</v>
      </c>
      <c r="AT459" s="1760">
        <v>13800</v>
      </c>
      <c r="AU459" s="1758" t="s">
        <v>775</v>
      </c>
      <c r="AV459" s="1758">
        <v>0</v>
      </c>
      <c r="AW459" s="1758" t="s">
        <v>775</v>
      </c>
      <c r="AX459" s="1758" t="s">
        <v>775</v>
      </c>
      <c r="AY459" s="1758" t="s">
        <v>775</v>
      </c>
      <c r="AZ459" s="1758" t="s">
        <v>775</v>
      </c>
      <c r="BA459" s="1758" t="s">
        <v>775</v>
      </c>
      <c r="BB459" s="1758" t="s">
        <v>775</v>
      </c>
      <c r="BC459" t="s">
        <v>775</v>
      </c>
      <c r="BD459" t="s">
        <v>775</v>
      </c>
    </row>
    <row r="460" spans="40:56" ht="12" customHeight="1">
      <c r="AN460" t="str">
        <f t="shared" si="14"/>
        <v>4111399NULL</v>
      </c>
      <c r="AO460" t="str">
        <f t="shared" si="15"/>
        <v>4111399NULL</v>
      </c>
      <c r="AP460" s="1758" t="s">
        <v>774</v>
      </c>
      <c r="AQ460" s="1759">
        <v>4111399</v>
      </c>
      <c r="AR460" s="1758" t="s">
        <v>775</v>
      </c>
      <c r="AS460" s="1758">
        <v>3000</v>
      </c>
      <c r="AT460" s="1760">
        <v>3000</v>
      </c>
      <c r="AU460" s="1758" t="s">
        <v>775</v>
      </c>
      <c r="AV460" s="1758">
        <v>0</v>
      </c>
      <c r="AW460" s="1758" t="s">
        <v>775</v>
      </c>
      <c r="AX460" s="1758" t="s">
        <v>775</v>
      </c>
      <c r="AY460" s="1758" t="s">
        <v>775</v>
      </c>
      <c r="AZ460" s="1758" t="s">
        <v>775</v>
      </c>
      <c r="BA460" s="1758" t="s">
        <v>775</v>
      </c>
      <c r="BB460" s="1758" t="s">
        <v>775</v>
      </c>
      <c r="BC460" t="s">
        <v>775</v>
      </c>
      <c r="BD460" t="s">
        <v>775</v>
      </c>
    </row>
    <row r="461" spans="40:56" ht="12" customHeight="1">
      <c r="AN461" t="str">
        <f t="shared" si="14"/>
        <v>4111621NULL</v>
      </c>
      <c r="AO461" t="str">
        <f t="shared" si="15"/>
        <v>4111621NULL</v>
      </c>
      <c r="AP461" s="1758" t="s">
        <v>774</v>
      </c>
      <c r="AQ461" s="1759">
        <v>4111621</v>
      </c>
      <c r="AR461" s="1758" t="s">
        <v>775</v>
      </c>
      <c r="AS461" s="1758">
        <v>5600</v>
      </c>
      <c r="AT461" s="1760">
        <v>5600</v>
      </c>
      <c r="AU461" s="1758" t="s">
        <v>775</v>
      </c>
      <c r="AV461" s="1758">
        <v>0</v>
      </c>
      <c r="AW461" s="1758" t="s">
        <v>775</v>
      </c>
      <c r="AX461" s="1758" t="s">
        <v>775</v>
      </c>
      <c r="AY461" s="1758" t="s">
        <v>775</v>
      </c>
      <c r="AZ461" s="1758" t="s">
        <v>775</v>
      </c>
      <c r="BA461" s="1758" t="s">
        <v>775</v>
      </c>
      <c r="BB461" s="1758" t="s">
        <v>775</v>
      </c>
      <c r="BC461" t="s">
        <v>775</v>
      </c>
      <c r="BD461" t="s">
        <v>775</v>
      </c>
    </row>
    <row r="462" spans="40:56" ht="12" customHeight="1">
      <c r="AN462" t="str">
        <f t="shared" si="14"/>
        <v>4111423NULL</v>
      </c>
      <c r="AO462" t="str">
        <f t="shared" si="15"/>
        <v>4111423NULL</v>
      </c>
      <c r="AP462" s="1758" t="s">
        <v>774</v>
      </c>
      <c r="AQ462" s="1759">
        <v>4111423</v>
      </c>
      <c r="AR462" s="1758" t="s">
        <v>775</v>
      </c>
      <c r="AS462" s="1758">
        <v>14300</v>
      </c>
      <c r="AT462" s="1760">
        <v>14300</v>
      </c>
      <c r="AU462" s="1758" t="s">
        <v>775</v>
      </c>
      <c r="AV462" s="1758">
        <v>0</v>
      </c>
      <c r="AW462" s="1758" t="s">
        <v>775</v>
      </c>
      <c r="AX462" s="1758" t="s">
        <v>775</v>
      </c>
      <c r="AY462" s="1758" t="s">
        <v>775</v>
      </c>
      <c r="AZ462" s="1758" t="s">
        <v>775</v>
      </c>
      <c r="BA462" s="1758" t="s">
        <v>775</v>
      </c>
      <c r="BB462" s="1758" t="s">
        <v>775</v>
      </c>
      <c r="BC462" t="s">
        <v>775</v>
      </c>
      <c r="BD462" t="s">
        <v>775</v>
      </c>
    </row>
    <row r="463" spans="40:56" ht="12" customHeight="1">
      <c r="AN463" t="str">
        <f t="shared" si="14"/>
        <v>4111563NULL</v>
      </c>
      <c r="AO463" t="str">
        <f t="shared" si="15"/>
        <v>4111563NULL</v>
      </c>
      <c r="AP463" s="1758" t="s">
        <v>774</v>
      </c>
      <c r="AQ463" s="1759">
        <v>4111563</v>
      </c>
      <c r="AR463" s="1758" t="s">
        <v>775</v>
      </c>
      <c r="AS463" s="1758">
        <v>14100</v>
      </c>
      <c r="AT463" s="1759">
        <v>14100</v>
      </c>
      <c r="AU463" s="1758" t="s">
        <v>775</v>
      </c>
      <c r="AV463" s="1758">
        <v>0</v>
      </c>
      <c r="AW463" s="1758" t="s">
        <v>775</v>
      </c>
      <c r="AX463" s="1758" t="s">
        <v>775</v>
      </c>
      <c r="AY463" s="1758" t="s">
        <v>775</v>
      </c>
      <c r="AZ463" s="1758" t="s">
        <v>775</v>
      </c>
      <c r="BA463" s="1758" t="s">
        <v>775</v>
      </c>
      <c r="BB463" s="1758" t="s">
        <v>775</v>
      </c>
      <c r="BC463" t="s">
        <v>775</v>
      </c>
      <c r="BD463" t="s">
        <v>775</v>
      </c>
    </row>
    <row r="464" spans="40:56" ht="12" customHeight="1">
      <c r="AN464" t="str">
        <f t="shared" si="14"/>
        <v>4111555NULL</v>
      </c>
      <c r="AO464" t="str">
        <f t="shared" si="15"/>
        <v>4111555NULL</v>
      </c>
      <c r="AP464" s="1758" t="s">
        <v>774</v>
      </c>
      <c r="AQ464" s="1759">
        <v>4111555</v>
      </c>
      <c r="AR464" s="1758" t="s">
        <v>775</v>
      </c>
      <c r="AS464" s="1758">
        <v>9200</v>
      </c>
      <c r="AT464" s="1760">
        <v>9200</v>
      </c>
      <c r="AU464" s="1758" t="s">
        <v>775</v>
      </c>
      <c r="AV464" s="1758">
        <v>0</v>
      </c>
      <c r="AW464" s="1758" t="s">
        <v>775</v>
      </c>
      <c r="AX464" s="1758" t="s">
        <v>775</v>
      </c>
      <c r="AY464" s="1758" t="s">
        <v>775</v>
      </c>
      <c r="AZ464" s="1758" t="s">
        <v>775</v>
      </c>
      <c r="BA464" s="1758" t="s">
        <v>775</v>
      </c>
      <c r="BB464" s="1758" t="s">
        <v>775</v>
      </c>
      <c r="BC464" t="s">
        <v>775</v>
      </c>
      <c r="BD464" t="s">
        <v>775</v>
      </c>
    </row>
    <row r="465" spans="40:56" ht="12" customHeight="1">
      <c r="AN465" t="str">
        <f t="shared" si="14"/>
        <v>4111712NULL</v>
      </c>
      <c r="AO465" t="str">
        <f t="shared" si="15"/>
        <v>4111712NULL</v>
      </c>
      <c r="AP465" s="1758" t="s">
        <v>774</v>
      </c>
      <c r="AQ465" s="1759">
        <v>4111712</v>
      </c>
      <c r="AR465" s="1758" t="s">
        <v>775</v>
      </c>
      <c r="AS465" s="1758">
        <v>40501</v>
      </c>
      <c r="AT465" s="1760">
        <v>40501</v>
      </c>
      <c r="AU465" s="1758" t="s">
        <v>775</v>
      </c>
      <c r="AV465" s="1758">
        <v>0</v>
      </c>
      <c r="AW465" s="1758" t="s">
        <v>775</v>
      </c>
      <c r="AX465" s="1758" t="s">
        <v>775</v>
      </c>
      <c r="AY465" s="1758" t="s">
        <v>775</v>
      </c>
      <c r="AZ465" s="1758" t="s">
        <v>775</v>
      </c>
      <c r="BA465" s="1758" t="s">
        <v>775</v>
      </c>
      <c r="BB465" s="1758" t="s">
        <v>775</v>
      </c>
      <c r="BC465" t="s">
        <v>775</v>
      </c>
      <c r="BD465" t="s">
        <v>775</v>
      </c>
    </row>
    <row r="466" spans="40:56" ht="12" customHeight="1">
      <c r="AN466" t="str">
        <f t="shared" si="14"/>
        <v>4111530NULL</v>
      </c>
      <c r="AO466" t="str">
        <f t="shared" si="15"/>
        <v>4111530NULL</v>
      </c>
      <c r="AP466" s="1758" t="s">
        <v>774</v>
      </c>
      <c r="AQ466" s="1759">
        <v>4111530</v>
      </c>
      <c r="AR466" s="1758" t="s">
        <v>775</v>
      </c>
      <c r="AS466" s="1758">
        <v>13400</v>
      </c>
      <c r="AT466" s="1760">
        <v>13400</v>
      </c>
      <c r="AU466" s="1758" t="s">
        <v>775</v>
      </c>
      <c r="AV466" s="1758">
        <v>0</v>
      </c>
      <c r="AW466" s="1758" t="s">
        <v>775</v>
      </c>
      <c r="AX466" s="1758" t="s">
        <v>775</v>
      </c>
      <c r="AY466" s="1758" t="s">
        <v>775</v>
      </c>
      <c r="AZ466" s="1758" t="s">
        <v>775</v>
      </c>
      <c r="BA466" s="1758" t="s">
        <v>775</v>
      </c>
      <c r="BB466" s="1758" t="s">
        <v>775</v>
      </c>
      <c r="BC466" t="s">
        <v>775</v>
      </c>
      <c r="BD466" t="s">
        <v>775</v>
      </c>
    </row>
    <row r="467" spans="40:56" ht="12" customHeight="1">
      <c r="AN467" t="str">
        <f t="shared" si="14"/>
        <v>41117201356395545</v>
      </c>
      <c r="AO467" t="str">
        <f t="shared" si="15"/>
        <v>4111720102534400</v>
      </c>
      <c r="AP467" s="1758" t="s">
        <v>774</v>
      </c>
      <c r="AQ467" s="1759">
        <v>4111720</v>
      </c>
      <c r="AR467" s="1758" t="s">
        <v>775</v>
      </c>
      <c r="AS467" s="1758">
        <v>11400</v>
      </c>
      <c r="AT467" s="1760">
        <v>11400</v>
      </c>
      <c r="AU467" s="1758">
        <v>1356395545</v>
      </c>
      <c r="AV467" s="1758">
        <v>1356395545</v>
      </c>
      <c r="AW467" s="1758">
        <v>102534400</v>
      </c>
      <c r="AX467" s="1758" t="s">
        <v>775</v>
      </c>
      <c r="AY467" s="1758" t="s">
        <v>775</v>
      </c>
      <c r="AZ467" s="1758" t="s">
        <v>775</v>
      </c>
      <c r="BA467" s="1758" t="s">
        <v>775</v>
      </c>
      <c r="BB467" s="1758" t="s">
        <v>775</v>
      </c>
      <c r="BC467" t="s">
        <v>775</v>
      </c>
      <c r="BD467" t="s">
        <v>775</v>
      </c>
    </row>
    <row r="468" spans="40:56" ht="12" customHeight="1">
      <c r="AN468" t="str">
        <f t="shared" si="14"/>
        <v>4111480NULL</v>
      </c>
      <c r="AO468" t="str">
        <f t="shared" si="15"/>
        <v>4111480NULL</v>
      </c>
      <c r="AP468" s="1758" t="s">
        <v>774</v>
      </c>
      <c r="AQ468" s="1759">
        <v>4111480</v>
      </c>
      <c r="AR468" s="1758" t="s">
        <v>775</v>
      </c>
      <c r="AS468" s="1758">
        <v>9000</v>
      </c>
      <c r="AT468" s="1760">
        <v>9000</v>
      </c>
      <c r="AU468" s="1758" t="s">
        <v>775</v>
      </c>
      <c r="AV468" s="1758">
        <v>0</v>
      </c>
      <c r="AW468" s="1758" t="s">
        <v>775</v>
      </c>
      <c r="AX468" s="1758" t="s">
        <v>775</v>
      </c>
      <c r="AY468" s="1758" t="s">
        <v>775</v>
      </c>
      <c r="AZ468" s="1758" t="s">
        <v>775</v>
      </c>
      <c r="BA468" s="1758" t="s">
        <v>775</v>
      </c>
      <c r="BB468" s="1758" t="s">
        <v>775</v>
      </c>
      <c r="BC468" t="s">
        <v>775</v>
      </c>
      <c r="BD468" t="s">
        <v>775</v>
      </c>
    </row>
    <row r="469" spans="40:56" ht="12" customHeight="1">
      <c r="AN469" t="str">
        <f t="shared" si="14"/>
        <v>4111472NULL</v>
      </c>
      <c r="AO469" t="str">
        <f t="shared" si="15"/>
        <v>4111472NULL</v>
      </c>
      <c r="AP469" s="1758" t="s">
        <v>774</v>
      </c>
      <c r="AQ469" s="1759">
        <v>4111472</v>
      </c>
      <c r="AR469" s="1758" t="s">
        <v>775</v>
      </c>
      <c r="AS469" s="1758">
        <v>14700</v>
      </c>
      <c r="AT469" s="1760">
        <v>14700</v>
      </c>
      <c r="AU469" s="1758" t="s">
        <v>775</v>
      </c>
      <c r="AV469" s="1758">
        <v>0</v>
      </c>
      <c r="AW469" s="1758" t="s">
        <v>775</v>
      </c>
      <c r="AX469" s="1758" t="s">
        <v>775</v>
      </c>
      <c r="AY469" s="1758" t="s">
        <v>775</v>
      </c>
      <c r="AZ469" s="1758" t="s">
        <v>775</v>
      </c>
      <c r="BA469" s="1758" t="s">
        <v>775</v>
      </c>
      <c r="BB469" s="1758" t="s">
        <v>775</v>
      </c>
      <c r="BC469" t="s">
        <v>775</v>
      </c>
      <c r="BD469" t="s">
        <v>775</v>
      </c>
    </row>
    <row r="470" spans="40:56" ht="12" customHeight="1">
      <c r="AN470" t="str">
        <f t="shared" si="14"/>
        <v>4111464NULL</v>
      </c>
      <c r="AO470" t="str">
        <f t="shared" si="15"/>
        <v>4111464NULL</v>
      </c>
      <c r="AP470" s="1758" t="s">
        <v>774</v>
      </c>
      <c r="AQ470" s="1759">
        <v>4111464</v>
      </c>
      <c r="AR470" s="1758" t="s">
        <v>775</v>
      </c>
      <c r="AS470" s="1758">
        <v>800</v>
      </c>
      <c r="AT470" s="1760">
        <v>800</v>
      </c>
      <c r="AU470" s="1758" t="s">
        <v>775</v>
      </c>
      <c r="AV470" s="1758">
        <v>0</v>
      </c>
      <c r="AW470" s="1758" t="s">
        <v>775</v>
      </c>
      <c r="AX470" s="1758" t="s">
        <v>775</v>
      </c>
      <c r="AY470" s="1758" t="s">
        <v>775</v>
      </c>
      <c r="AZ470" s="1758" t="s">
        <v>775</v>
      </c>
      <c r="BA470" s="1758" t="s">
        <v>775</v>
      </c>
      <c r="BB470" s="1758" t="s">
        <v>775</v>
      </c>
      <c r="BC470" t="s">
        <v>775</v>
      </c>
      <c r="BD470" t="s">
        <v>775</v>
      </c>
    </row>
    <row r="471" spans="40:56" ht="12" customHeight="1">
      <c r="AN471" t="str">
        <f t="shared" si="14"/>
        <v>4111456NULL</v>
      </c>
      <c r="AO471" t="str">
        <f t="shared" si="15"/>
        <v>4111456NULL</v>
      </c>
      <c r="AP471" s="1758" t="s">
        <v>774</v>
      </c>
      <c r="AQ471" s="1759">
        <v>4111456</v>
      </c>
      <c r="AR471" s="1758" t="s">
        <v>775</v>
      </c>
      <c r="AS471" s="1758">
        <v>11200</v>
      </c>
      <c r="AT471" s="1760">
        <v>11200</v>
      </c>
      <c r="AU471" s="1758" t="s">
        <v>775</v>
      </c>
      <c r="AV471" s="1758">
        <v>0</v>
      </c>
      <c r="AW471" s="1758" t="s">
        <v>775</v>
      </c>
      <c r="AX471" s="1758" t="s">
        <v>775</v>
      </c>
      <c r="AY471" s="1758" t="s">
        <v>775</v>
      </c>
      <c r="AZ471" s="1758" t="s">
        <v>775</v>
      </c>
      <c r="BA471" s="1758" t="s">
        <v>775</v>
      </c>
      <c r="BB471" s="1758" t="s">
        <v>775</v>
      </c>
      <c r="BC471" t="s">
        <v>775</v>
      </c>
      <c r="BD471" t="s">
        <v>775</v>
      </c>
    </row>
    <row r="472" spans="40:56" ht="12" customHeight="1">
      <c r="AN472" t="str">
        <f t="shared" si="14"/>
        <v>4111431NULL</v>
      </c>
      <c r="AO472" t="str">
        <f t="shared" si="15"/>
        <v>4111431NULL</v>
      </c>
      <c r="AP472" s="1758" t="s">
        <v>774</v>
      </c>
      <c r="AQ472" s="1759">
        <v>4111431</v>
      </c>
      <c r="AR472" s="1758" t="s">
        <v>775</v>
      </c>
      <c r="AS472" s="1758">
        <v>40410</v>
      </c>
      <c r="AT472" s="1760">
        <v>40410</v>
      </c>
      <c r="AU472" s="1758" t="s">
        <v>775</v>
      </c>
      <c r="AV472" s="1758">
        <v>0</v>
      </c>
      <c r="AW472" s="1758" t="s">
        <v>775</v>
      </c>
      <c r="AX472" s="1758" t="s">
        <v>775</v>
      </c>
      <c r="AY472" s="1758" t="s">
        <v>775</v>
      </c>
      <c r="AZ472" s="1758" t="s">
        <v>775</v>
      </c>
      <c r="BA472" s="1758" t="s">
        <v>775</v>
      </c>
      <c r="BB472" s="1758" t="s">
        <v>775</v>
      </c>
      <c r="BC472" t="s">
        <v>775</v>
      </c>
      <c r="BD472" t="s">
        <v>775</v>
      </c>
    </row>
    <row r="473" spans="40:56" ht="12" customHeight="1">
      <c r="AN473" t="str">
        <f t="shared" si="14"/>
        <v>4111639NULL</v>
      </c>
      <c r="AO473" t="str">
        <f t="shared" si="15"/>
        <v>4111639NULL</v>
      </c>
      <c r="AP473" s="1758" t="s">
        <v>774</v>
      </c>
      <c r="AQ473" s="1759">
        <v>4111639</v>
      </c>
      <c r="AR473" s="1758" t="s">
        <v>775</v>
      </c>
      <c r="AS473" s="1758">
        <v>40470</v>
      </c>
      <c r="AT473" s="1760">
        <v>40470</v>
      </c>
      <c r="AU473" s="1758" t="s">
        <v>775</v>
      </c>
      <c r="AV473" s="1758">
        <v>0</v>
      </c>
      <c r="AW473" s="1758" t="s">
        <v>775</v>
      </c>
      <c r="AX473" s="1758" t="s">
        <v>775</v>
      </c>
      <c r="AY473" s="1758" t="s">
        <v>775</v>
      </c>
      <c r="AZ473" s="1758" t="s">
        <v>775</v>
      </c>
      <c r="BA473" s="1758" t="s">
        <v>775</v>
      </c>
      <c r="BB473" s="1758" t="s">
        <v>775</v>
      </c>
      <c r="BC473" t="s">
        <v>775</v>
      </c>
      <c r="BD473" t="s">
        <v>775</v>
      </c>
    </row>
    <row r="474" spans="40:56" ht="12" customHeight="1">
      <c r="AN474" t="str">
        <f t="shared" si="14"/>
        <v>4111548NULL</v>
      </c>
      <c r="AO474" t="str">
        <f t="shared" si="15"/>
        <v>4111548NULL</v>
      </c>
      <c r="AP474" s="1758" t="s">
        <v>774</v>
      </c>
      <c r="AQ474" s="1759">
        <v>4111548</v>
      </c>
      <c r="AR474" s="1758" t="s">
        <v>775</v>
      </c>
      <c r="AS474" s="1758">
        <v>21500</v>
      </c>
      <c r="AT474" s="1760">
        <v>21500</v>
      </c>
      <c r="AU474" s="1758" t="s">
        <v>775</v>
      </c>
      <c r="AV474" s="1758">
        <v>0</v>
      </c>
      <c r="AW474" s="1758" t="s">
        <v>775</v>
      </c>
      <c r="AX474" s="1758" t="s">
        <v>775</v>
      </c>
      <c r="AY474" s="1758" t="s">
        <v>775</v>
      </c>
      <c r="AZ474" s="1758" t="s">
        <v>775</v>
      </c>
      <c r="BA474" s="1758" t="s">
        <v>775</v>
      </c>
      <c r="BB474" s="1758" t="s">
        <v>775</v>
      </c>
      <c r="BC474" t="s">
        <v>775</v>
      </c>
      <c r="BD474" t="s">
        <v>775</v>
      </c>
    </row>
    <row r="475" spans="40:56" ht="12" customHeight="1">
      <c r="AN475" t="str">
        <f t="shared" si="14"/>
        <v>4112975NULL</v>
      </c>
      <c r="AO475" t="str">
        <f t="shared" si="15"/>
        <v>4112975NULL</v>
      </c>
      <c r="AP475" s="1758" t="s">
        <v>774</v>
      </c>
      <c r="AQ475" s="1759">
        <v>4112975</v>
      </c>
      <c r="AR475" s="1758" t="s">
        <v>775</v>
      </c>
      <c r="AS475" s="1758">
        <v>3500</v>
      </c>
      <c r="AT475" s="1760">
        <v>3500</v>
      </c>
      <c r="AU475" s="1758" t="s">
        <v>775</v>
      </c>
      <c r="AV475" s="1758">
        <v>0</v>
      </c>
      <c r="AW475" s="1758" t="s">
        <v>775</v>
      </c>
      <c r="AX475" s="1758" t="s">
        <v>775</v>
      </c>
      <c r="AY475" s="1758" t="s">
        <v>775</v>
      </c>
      <c r="AZ475" s="1758" t="s">
        <v>775</v>
      </c>
      <c r="BA475" s="1758" t="s">
        <v>775</v>
      </c>
      <c r="BB475" s="1758" t="s">
        <v>775</v>
      </c>
      <c r="BC475" t="s">
        <v>775</v>
      </c>
      <c r="BD475" t="s">
        <v>775</v>
      </c>
    </row>
    <row r="476" spans="40:56" ht="12" customHeight="1">
      <c r="AN476" t="str">
        <f t="shared" si="14"/>
        <v>4111001NULL</v>
      </c>
      <c r="AO476" t="str">
        <f t="shared" si="15"/>
        <v>4111001NULL</v>
      </c>
      <c r="AP476" s="1758" t="s">
        <v>774</v>
      </c>
      <c r="AQ476" s="1759">
        <v>4111001</v>
      </c>
      <c r="AR476" s="1758" t="s">
        <v>775</v>
      </c>
      <c r="AS476" s="1758">
        <v>33700</v>
      </c>
      <c r="AT476" s="1760">
        <v>33700</v>
      </c>
      <c r="AU476" s="1758" t="s">
        <v>775</v>
      </c>
      <c r="AV476" s="1758">
        <v>0</v>
      </c>
      <c r="AW476" s="1758" t="s">
        <v>775</v>
      </c>
      <c r="AX476" s="1758" t="s">
        <v>775</v>
      </c>
      <c r="AY476" s="1758" t="s">
        <v>775</v>
      </c>
      <c r="AZ476" s="1758" t="s">
        <v>775</v>
      </c>
      <c r="BA476" s="1758" t="s">
        <v>775</v>
      </c>
      <c r="BB476" s="1758" t="s">
        <v>775</v>
      </c>
      <c r="BC476" t="s">
        <v>775</v>
      </c>
      <c r="BD476" t="s">
        <v>775</v>
      </c>
    </row>
    <row r="477" spans="40:56" ht="12" customHeight="1">
      <c r="AN477" t="str">
        <f t="shared" si="14"/>
        <v>4110995NULL</v>
      </c>
      <c r="AO477" t="str">
        <f t="shared" si="15"/>
        <v>4110995NULL</v>
      </c>
      <c r="AP477" s="1758" t="s">
        <v>774</v>
      </c>
      <c r="AQ477" s="1759">
        <v>4110995</v>
      </c>
      <c r="AR477" s="1758" t="s">
        <v>775</v>
      </c>
      <c r="AS477" s="1758">
        <v>11400</v>
      </c>
      <c r="AT477" s="1760">
        <v>11400</v>
      </c>
      <c r="AU477" s="1758" t="s">
        <v>775</v>
      </c>
      <c r="AV477" s="1758">
        <v>0</v>
      </c>
      <c r="AW477" s="1758" t="s">
        <v>775</v>
      </c>
      <c r="AX477" s="1758" t="s">
        <v>775</v>
      </c>
      <c r="AY477" s="1758" t="s">
        <v>775</v>
      </c>
      <c r="AZ477" s="1758" t="s">
        <v>775</v>
      </c>
      <c r="BA477" s="1758" t="s">
        <v>775</v>
      </c>
      <c r="BB477" s="1758" t="s">
        <v>775</v>
      </c>
      <c r="BC477" t="s">
        <v>775</v>
      </c>
      <c r="BD477" t="s">
        <v>775</v>
      </c>
    </row>
    <row r="478" spans="40:56" ht="12" customHeight="1">
      <c r="AN478" t="str">
        <f t="shared" si="14"/>
        <v>4110961NULL</v>
      </c>
      <c r="AO478" t="str">
        <f t="shared" si="15"/>
        <v>4110961NULL</v>
      </c>
      <c r="AP478" s="1758" t="s">
        <v>774</v>
      </c>
      <c r="AQ478" s="1759">
        <v>4110961</v>
      </c>
      <c r="AR478" s="1758" t="s">
        <v>775</v>
      </c>
      <c r="AS478" s="1758">
        <v>18900</v>
      </c>
      <c r="AT478" s="1760">
        <v>18900</v>
      </c>
      <c r="AU478" s="1758" t="s">
        <v>775</v>
      </c>
      <c r="AV478" s="1758">
        <v>0</v>
      </c>
      <c r="AW478" s="1758" t="s">
        <v>775</v>
      </c>
      <c r="AX478" s="1758" t="s">
        <v>775</v>
      </c>
      <c r="AY478" s="1758" t="s">
        <v>775</v>
      </c>
      <c r="AZ478" s="1758" t="s">
        <v>775</v>
      </c>
      <c r="BA478" s="1758" t="s">
        <v>775</v>
      </c>
      <c r="BB478" s="1758" t="s">
        <v>775</v>
      </c>
      <c r="BC478" t="s">
        <v>775</v>
      </c>
      <c r="BD478" t="s">
        <v>775</v>
      </c>
    </row>
    <row r="479" spans="40:56" ht="12" customHeight="1">
      <c r="AN479" t="str">
        <f t="shared" si="14"/>
        <v>4110953NULL</v>
      </c>
      <c r="AO479" t="str">
        <f t="shared" si="15"/>
        <v>4110953NULL</v>
      </c>
      <c r="AP479" s="1758" t="s">
        <v>774</v>
      </c>
      <c r="AQ479" s="1759">
        <v>4110953</v>
      </c>
      <c r="AR479" s="1758" t="s">
        <v>775</v>
      </c>
      <c r="AS479" s="1758">
        <v>5300</v>
      </c>
      <c r="AT479" s="1760">
        <v>5300</v>
      </c>
      <c r="AU479" s="1758" t="s">
        <v>775</v>
      </c>
      <c r="AV479" s="1758">
        <v>0</v>
      </c>
      <c r="AW479" s="1758" t="s">
        <v>775</v>
      </c>
      <c r="AX479" s="1758" t="s">
        <v>775</v>
      </c>
      <c r="AY479" s="1758" t="s">
        <v>775</v>
      </c>
      <c r="AZ479" s="1758" t="s">
        <v>775</v>
      </c>
      <c r="BA479" s="1758" t="s">
        <v>775</v>
      </c>
      <c r="BB479" s="1758" t="s">
        <v>775</v>
      </c>
      <c r="BC479" t="s">
        <v>775</v>
      </c>
      <c r="BD479" t="s">
        <v>775</v>
      </c>
    </row>
    <row r="480" spans="40:56" ht="12" customHeight="1">
      <c r="AN480" t="str">
        <f t="shared" si="14"/>
        <v>4111209NULL</v>
      </c>
      <c r="AO480" t="str">
        <f t="shared" si="15"/>
        <v>4111209NULL</v>
      </c>
      <c r="AP480" s="1758" t="s">
        <v>774</v>
      </c>
      <c r="AQ480" s="1759">
        <v>4111209</v>
      </c>
      <c r="AR480" s="1758" t="s">
        <v>775</v>
      </c>
      <c r="AS480" s="1758">
        <v>8100</v>
      </c>
      <c r="AT480" s="1760">
        <v>8100</v>
      </c>
      <c r="AU480" s="1758" t="s">
        <v>775</v>
      </c>
      <c r="AV480" s="1758">
        <v>0</v>
      </c>
      <c r="AW480" s="1758" t="s">
        <v>775</v>
      </c>
      <c r="AX480" s="1758" t="s">
        <v>775</v>
      </c>
      <c r="AY480" s="1758" t="s">
        <v>775</v>
      </c>
      <c r="AZ480" s="1758" t="s">
        <v>775</v>
      </c>
      <c r="BA480" s="1758" t="s">
        <v>775</v>
      </c>
      <c r="BB480" s="1758" t="s">
        <v>775</v>
      </c>
      <c r="BC480" t="s">
        <v>775</v>
      </c>
      <c r="BD480" t="s">
        <v>775</v>
      </c>
    </row>
    <row r="481" spans="40:56" ht="12" customHeight="1">
      <c r="AN481" t="str">
        <f t="shared" si="14"/>
        <v>4111605NULL</v>
      </c>
      <c r="AO481" t="str">
        <f t="shared" si="15"/>
        <v>4111605NULL</v>
      </c>
      <c r="AP481" s="1758" t="s">
        <v>774</v>
      </c>
      <c r="AQ481" s="1759">
        <v>4111605</v>
      </c>
      <c r="AR481" s="1758" t="s">
        <v>775</v>
      </c>
      <c r="AS481" s="1758">
        <v>33800</v>
      </c>
      <c r="AT481" s="1760">
        <v>33800</v>
      </c>
      <c r="AU481" s="1758" t="s">
        <v>775</v>
      </c>
      <c r="AV481" s="1758">
        <v>0</v>
      </c>
      <c r="AW481" s="1758" t="s">
        <v>775</v>
      </c>
      <c r="AX481" s="1758" t="s">
        <v>775</v>
      </c>
      <c r="AY481" s="1758" t="s">
        <v>775</v>
      </c>
      <c r="AZ481" s="1758" t="s">
        <v>775</v>
      </c>
      <c r="BA481" s="1758" t="s">
        <v>775</v>
      </c>
      <c r="BB481" s="1758" t="s">
        <v>775</v>
      </c>
      <c r="BC481" t="s">
        <v>775</v>
      </c>
      <c r="BD481" t="s">
        <v>775</v>
      </c>
    </row>
    <row r="482" spans="40:56" ht="12" customHeight="1">
      <c r="AN482" t="str">
        <f t="shared" si="14"/>
        <v>4111654NULL</v>
      </c>
      <c r="AO482" t="str">
        <f t="shared" si="15"/>
        <v>4111654NULL</v>
      </c>
      <c r="AP482" s="1758" t="s">
        <v>774</v>
      </c>
      <c r="AQ482" s="1759">
        <v>4111654</v>
      </c>
      <c r="AR482" s="1758" t="s">
        <v>775</v>
      </c>
      <c r="AS482" s="1758">
        <v>3400</v>
      </c>
      <c r="AT482" s="1760">
        <v>3400</v>
      </c>
      <c r="AU482" s="1758" t="s">
        <v>775</v>
      </c>
      <c r="AV482" s="1758">
        <v>0</v>
      </c>
      <c r="AW482" s="1758" t="s">
        <v>775</v>
      </c>
      <c r="AX482" s="1758" t="s">
        <v>775</v>
      </c>
      <c r="AY482" s="1758" t="s">
        <v>775</v>
      </c>
      <c r="AZ482" s="1758" t="s">
        <v>775</v>
      </c>
      <c r="BA482" s="1758" t="s">
        <v>775</v>
      </c>
      <c r="BB482" s="1758" t="s">
        <v>775</v>
      </c>
      <c r="BC482" t="s">
        <v>775</v>
      </c>
      <c r="BD482" t="s">
        <v>775</v>
      </c>
    </row>
    <row r="483" spans="40:56" ht="12" customHeight="1">
      <c r="AN483" t="str">
        <f t="shared" si="14"/>
        <v>4111829NULL</v>
      </c>
      <c r="AO483" t="str">
        <f t="shared" si="15"/>
        <v>4111829NULL</v>
      </c>
      <c r="AP483" s="1758" t="s">
        <v>774</v>
      </c>
      <c r="AQ483" s="1759">
        <v>4111829</v>
      </c>
      <c r="AR483" s="1758" t="s">
        <v>775</v>
      </c>
      <c r="AS483" s="1758">
        <v>24900</v>
      </c>
      <c r="AT483" s="1760">
        <v>24900</v>
      </c>
      <c r="AU483" s="1758" t="s">
        <v>775</v>
      </c>
      <c r="AV483" s="1758">
        <v>0</v>
      </c>
      <c r="AW483" s="1758" t="s">
        <v>775</v>
      </c>
      <c r="AX483" s="1758" t="s">
        <v>775</v>
      </c>
      <c r="AY483" s="1758" t="s">
        <v>775</v>
      </c>
      <c r="AZ483" s="1758" t="s">
        <v>775</v>
      </c>
      <c r="BA483" s="1758" t="s">
        <v>775</v>
      </c>
      <c r="BB483" s="1758" t="s">
        <v>775</v>
      </c>
      <c r="BC483" t="s">
        <v>775</v>
      </c>
      <c r="BD483" t="s">
        <v>775</v>
      </c>
    </row>
    <row r="484" spans="40:56" ht="12" customHeight="1">
      <c r="AN484" t="str">
        <f t="shared" si="14"/>
        <v>4112348NULL</v>
      </c>
      <c r="AO484" t="str">
        <f t="shared" si="15"/>
        <v>4112348NULL</v>
      </c>
      <c r="AP484" s="1758" t="s">
        <v>774</v>
      </c>
      <c r="AQ484" s="1759">
        <v>4112348</v>
      </c>
      <c r="AR484" s="1758" t="s">
        <v>775</v>
      </c>
      <c r="AS484" s="1758">
        <v>8000</v>
      </c>
      <c r="AT484" s="1760">
        <v>8000</v>
      </c>
      <c r="AU484" s="1758" t="s">
        <v>775</v>
      </c>
      <c r="AV484" s="1758">
        <v>0</v>
      </c>
      <c r="AW484" s="1758" t="s">
        <v>775</v>
      </c>
      <c r="AX484" s="1758" t="s">
        <v>775</v>
      </c>
      <c r="AY484" s="1758" t="s">
        <v>775</v>
      </c>
      <c r="AZ484" s="1758" t="s">
        <v>775</v>
      </c>
      <c r="BA484" s="1758" t="s">
        <v>775</v>
      </c>
      <c r="BB484" s="1758" t="s">
        <v>775</v>
      </c>
      <c r="BC484" t="s">
        <v>775</v>
      </c>
      <c r="BD484" t="s">
        <v>775</v>
      </c>
    </row>
    <row r="485" spans="40:56" ht="12" customHeight="1">
      <c r="AN485" t="str">
        <f t="shared" si="14"/>
        <v>4111811NULL</v>
      </c>
      <c r="AO485" t="str">
        <f t="shared" si="15"/>
        <v>4111811NULL</v>
      </c>
      <c r="AP485" s="1758" t="s">
        <v>774</v>
      </c>
      <c r="AQ485" s="1759">
        <v>4111811</v>
      </c>
      <c r="AR485" s="1758" t="s">
        <v>775</v>
      </c>
      <c r="AS485" s="1758">
        <v>5300</v>
      </c>
      <c r="AT485" s="1760">
        <v>5300</v>
      </c>
      <c r="AU485" s="1758" t="s">
        <v>775</v>
      </c>
      <c r="AV485" s="1758">
        <v>0</v>
      </c>
      <c r="AW485" s="1758" t="s">
        <v>775</v>
      </c>
      <c r="AX485" s="1758" t="s">
        <v>775</v>
      </c>
      <c r="AY485" s="1758" t="s">
        <v>775</v>
      </c>
      <c r="AZ485" s="1758" t="s">
        <v>775</v>
      </c>
      <c r="BA485" s="1758" t="s">
        <v>775</v>
      </c>
      <c r="BB485" s="1758" t="s">
        <v>775</v>
      </c>
      <c r="BC485" t="s">
        <v>775</v>
      </c>
      <c r="BD485" t="s">
        <v>775</v>
      </c>
    </row>
    <row r="486" spans="40:56" ht="12" customHeight="1">
      <c r="AN486" t="str">
        <f t="shared" si="14"/>
        <v>4111787NULL</v>
      </c>
      <c r="AO486" t="str">
        <f t="shared" si="15"/>
        <v>4111787NULL</v>
      </c>
      <c r="AP486" s="1758" t="s">
        <v>774</v>
      </c>
      <c r="AQ486" s="1759">
        <v>4111787</v>
      </c>
      <c r="AR486" s="1758" t="s">
        <v>775</v>
      </c>
      <c r="AS486" s="1758">
        <v>100</v>
      </c>
      <c r="AT486" s="1760">
        <v>100</v>
      </c>
      <c r="AU486" s="1758" t="s">
        <v>775</v>
      </c>
      <c r="AV486" s="1758">
        <v>0</v>
      </c>
      <c r="AW486" s="1758" t="s">
        <v>775</v>
      </c>
      <c r="AX486" s="1758" t="s">
        <v>775</v>
      </c>
      <c r="AY486" s="1758" t="s">
        <v>775</v>
      </c>
      <c r="AZ486" s="1758" t="s">
        <v>775</v>
      </c>
      <c r="BA486" s="1758" t="s">
        <v>775</v>
      </c>
      <c r="BB486" s="1758" t="s">
        <v>775</v>
      </c>
      <c r="BC486" t="s">
        <v>775</v>
      </c>
      <c r="BD486" t="s">
        <v>775</v>
      </c>
    </row>
    <row r="487" spans="40:56" ht="12" customHeight="1">
      <c r="AN487" t="str">
        <f t="shared" si="14"/>
        <v>41117611508811183</v>
      </c>
      <c r="AO487" t="str">
        <f t="shared" si="15"/>
        <v>4111761NULL</v>
      </c>
      <c r="AP487" s="1758" t="s">
        <v>774</v>
      </c>
      <c r="AQ487" s="1759">
        <v>4111761</v>
      </c>
      <c r="AR487" s="1758" t="s">
        <v>775</v>
      </c>
      <c r="AS487" s="1758">
        <v>14600</v>
      </c>
      <c r="AT487" s="1760">
        <v>14600</v>
      </c>
      <c r="AU487" s="1758">
        <v>1508811183</v>
      </c>
      <c r="AV487" s="1758">
        <v>1508811183</v>
      </c>
      <c r="AW487" s="1758" t="s">
        <v>775</v>
      </c>
      <c r="AX487" s="1758" t="s">
        <v>775</v>
      </c>
      <c r="AY487" s="1758" t="s">
        <v>775</v>
      </c>
      <c r="AZ487" s="1758" t="s">
        <v>775</v>
      </c>
      <c r="BA487" s="1758" t="s">
        <v>775</v>
      </c>
      <c r="BB487" s="1758" t="s">
        <v>775</v>
      </c>
      <c r="BC487" t="s">
        <v>775</v>
      </c>
      <c r="BD487" t="s">
        <v>775</v>
      </c>
    </row>
    <row r="488" spans="40:56" ht="12" customHeight="1">
      <c r="AN488" t="str">
        <f t="shared" si="14"/>
        <v>41117531790730091</v>
      </c>
      <c r="AO488" t="str">
        <f t="shared" si="15"/>
        <v>4111753NULL</v>
      </c>
      <c r="AP488" s="1758" t="s">
        <v>774</v>
      </c>
      <c r="AQ488" s="1759">
        <v>4111753</v>
      </c>
      <c r="AR488" s="1758" t="s">
        <v>775</v>
      </c>
      <c r="AS488" s="1758">
        <v>18400</v>
      </c>
      <c r="AT488" s="1760">
        <v>18400</v>
      </c>
      <c r="AU488" s="1758">
        <v>1790730091</v>
      </c>
      <c r="AV488" s="1758">
        <v>1790730091</v>
      </c>
      <c r="AW488" s="1758" t="s">
        <v>775</v>
      </c>
      <c r="AX488" s="1758" t="s">
        <v>775</v>
      </c>
      <c r="AY488" s="1758" t="s">
        <v>775</v>
      </c>
      <c r="AZ488" s="1758" t="s">
        <v>775</v>
      </c>
      <c r="BA488" s="1758" t="s">
        <v>775</v>
      </c>
      <c r="BB488" s="1758" t="s">
        <v>775</v>
      </c>
      <c r="BC488" t="s">
        <v>775</v>
      </c>
      <c r="BD488" t="s">
        <v>775</v>
      </c>
    </row>
    <row r="489" spans="40:56" ht="12" customHeight="1">
      <c r="AN489" t="str">
        <f t="shared" si="14"/>
        <v>41117461962456517</v>
      </c>
      <c r="AO489" t="str">
        <f t="shared" si="15"/>
        <v>4111746NULL</v>
      </c>
      <c r="AP489" s="1758" t="s">
        <v>774</v>
      </c>
      <c r="AQ489" s="1759">
        <v>4111746</v>
      </c>
      <c r="AR489" s="1758" t="s">
        <v>775</v>
      </c>
      <c r="AS489" s="1758">
        <v>9900</v>
      </c>
      <c r="AT489" s="1760">
        <v>9900</v>
      </c>
      <c r="AU489" s="1758">
        <v>1962456517</v>
      </c>
      <c r="AV489" s="1758">
        <v>1962456517</v>
      </c>
      <c r="AW489" s="1758" t="s">
        <v>775</v>
      </c>
      <c r="AX489" s="1758" t="s">
        <v>775</v>
      </c>
      <c r="AY489" s="1758" t="s">
        <v>775</v>
      </c>
      <c r="AZ489" s="1758" t="s">
        <v>775</v>
      </c>
      <c r="BA489" s="1758" t="s">
        <v>775</v>
      </c>
      <c r="BB489" s="1758" t="s">
        <v>775</v>
      </c>
      <c r="BC489" t="s">
        <v>775</v>
      </c>
      <c r="BD489" t="s">
        <v>775</v>
      </c>
    </row>
    <row r="490" spans="40:56" ht="12" customHeight="1">
      <c r="AN490" t="str">
        <f t="shared" si="14"/>
        <v>4111738NULL</v>
      </c>
      <c r="AO490" t="str">
        <f t="shared" si="15"/>
        <v>4111738NULL</v>
      </c>
      <c r="AP490" s="1758" t="s">
        <v>774</v>
      </c>
      <c r="AQ490" s="1759">
        <v>4111738</v>
      </c>
      <c r="AR490" s="1758" t="s">
        <v>775</v>
      </c>
      <c r="AS490" s="1758">
        <v>800</v>
      </c>
      <c r="AT490" s="1760">
        <v>800</v>
      </c>
      <c r="AU490" s="1758" t="s">
        <v>775</v>
      </c>
      <c r="AV490" s="1758">
        <v>0</v>
      </c>
      <c r="AW490" s="1758" t="s">
        <v>775</v>
      </c>
      <c r="AX490" s="1758" t="s">
        <v>775</v>
      </c>
      <c r="AY490" s="1758" t="s">
        <v>775</v>
      </c>
      <c r="AZ490" s="1758" t="s">
        <v>775</v>
      </c>
      <c r="BA490" s="1758" t="s">
        <v>775</v>
      </c>
      <c r="BB490" s="1758" t="s">
        <v>775</v>
      </c>
      <c r="BC490" t="s">
        <v>775</v>
      </c>
      <c r="BD490" t="s">
        <v>775</v>
      </c>
    </row>
    <row r="491" spans="40:56" ht="12" customHeight="1">
      <c r="AN491" t="str">
        <f t="shared" si="14"/>
        <v>4111860NULL</v>
      </c>
      <c r="AO491" t="str">
        <f t="shared" si="15"/>
        <v>4111860NULL</v>
      </c>
      <c r="AP491" s="1758" t="s">
        <v>774</v>
      </c>
      <c r="AQ491" s="1759">
        <v>4111860</v>
      </c>
      <c r="AR491" s="1758" t="s">
        <v>775</v>
      </c>
      <c r="AS491" s="1758">
        <v>40270</v>
      </c>
      <c r="AT491" s="1760">
        <v>40270</v>
      </c>
      <c r="AU491" s="1758" t="s">
        <v>775</v>
      </c>
      <c r="AV491" s="1758">
        <v>0</v>
      </c>
      <c r="AW491" s="1758" t="s">
        <v>775</v>
      </c>
      <c r="AX491" s="1758" t="s">
        <v>775</v>
      </c>
      <c r="AY491" s="1758" t="s">
        <v>775</v>
      </c>
      <c r="AZ491" s="1758" t="s">
        <v>775</v>
      </c>
      <c r="BA491" s="1758" t="s">
        <v>775</v>
      </c>
      <c r="BB491" s="1758" t="s">
        <v>775</v>
      </c>
      <c r="BC491" t="s">
        <v>775</v>
      </c>
      <c r="BD491" t="s">
        <v>775</v>
      </c>
    </row>
    <row r="492" spans="40:56" ht="12" customHeight="1">
      <c r="AN492" t="str">
        <f t="shared" si="14"/>
        <v>4112116NULL</v>
      </c>
      <c r="AO492" t="str">
        <f t="shared" si="15"/>
        <v>4112116NULL</v>
      </c>
      <c r="AP492" s="1758" t="s">
        <v>774</v>
      </c>
      <c r="AQ492" s="1759">
        <v>4112116</v>
      </c>
      <c r="AR492" s="1758" t="s">
        <v>775</v>
      </c>
      <c r="AS492" s="1758">
        <v>40540</v>
      </c>
      <c r="AT492" s="1760">
        <v>40540</v>
      </c>
      <c r="AU492" s="1758" t="s">
        <v>775</v>
      </c>
      <c r="AV492" s="1758">
        <v>0</v>
      </c>
      <c r="AW492" s="1758" t="s">
        <v>775</v>
      </c>
      <c r="AX492" s="1758" t="s">
        <v>775</v>
      </c>
      <c r="AY492" s="1758" t="s">
        <v>775</v>
      </c>
      <c r="AZ492" s="1758" t="s">
        <v>775</v>
      </c>
      <c r="BA492" s="1758" t="s">
        <v>775</v>
      </c>
      <c r="BB492" s="1758" t="s">
        <v>775</v>
      </c>
      <c r="BC492" t="s">
        <v>775</v>
      </c>
      <c r="BD492" t="s">
        <v>775</v>
      </c>
    </row>
    <row r="493" spans="40:56" ht="12" customHeight="1">
      <c r="AN493" t="str">
        <f t="shared" si="14"/>
        <v>4112306NULL</v>
      </c>
      <c r="AO493" t="str">
        <f t="shared" si="15"/>
        <v>4112306NULL</v>
      </c>
      <c r="AP493" s="1758" t="s">
        <v>774</v>
      </c>
      <c r="AQ493" s="1759">
        <v>4112306</v>
      </c>
      <c r="AR493" s="1758" t="s">
        <v>775</v>
      </c>
      <c r="AS493" s="1758">
        <v>40590</v>
      </c>
      <c r="AT493" s="1760">
        <v>40590</v>
      </c>
      <c r="AU493" s="1758" t="s">
        <v>775</v>
      </c>
      <c r="AV493" s="1758">
        <v>0</v>
      </c>
      <c r="AW493" s="1758" t="s">
        <v>775</v>
      </c>
      <c r="AX493" s="1758" t="s">
        <v>775</v>
      </c>
      <c r="AY493" s="1758" t="s">
        <v>775</v>
      </c>
      <c r="AZ493" s="1758" t="s">
        <v>775</v>
      </c>
      <c r="BA493" s="1758" t="s">
        <v>775</v>
      </c>
      <c r="BB493" s="1758" t="s">
        <v>775</v>
      </c>
      <c r="BC493" t="s">
        <v>775</v>
      </c>
      <c r="BD493" t="s">
        <v>775</v>
      </c>
    </row>
    <row r="494" spans="40:56" ht="12" customHeight="1">
      <c r="AN494" t="str">
        <f t="shared" si="14"/>
        <v>4110797NULL</v>
      </c>
      <c r="AO494" t="str">
        <f t="shared" si="15"/>
        <v>4110797NULL</v>
      </c>
      <c r="AP494" s="1758" t="s">
        <v>774</v>
      </c>
      <c r="AQ494" s="1759">
        <v>4110797</v>
      </c>
      <c r="AR494" s="1758" t="s">
        <v>775</v>
      </c>
      <c r="AS494" s="1758">
        <v>800</v>
      </c>
      <c r="AT494" s="1760">
        <v>800</v>
      </c>
      <c r="AU494" s="1758" t="s">
        <v>775</v>
      </c>
      <c r="AV494" s="1758">
        <v>0</v>
      </c>
      <c r="AW494" s="1758" t="s">
        <v>775</v>
      </c>
      <c r="AX494" s="1758" t="s">
        <v>775</v>
      </c>
      <c r="AY494" s="1758" t="s">
        <v>775</v>
      </c>
      <c r="AZ494" s="1758" t="s">
        <v>775</v>
      </c>
      <c r="BA494" s="1758" t="s">
        <v>775</v>
      </c>
      <c r="BB494" s="1758" t="s">
        <v>775</v>
      </c>
      <c r="BC494" t="s">
        <v>775</v>
      </c>
      <c r="BD494" t="s">
        <v>775</v>
      </c>
    </row>
    <row r="495" spans="40:56" ht="12" customHeight="1">
      <c r="AN495" t="str">
        <f t="shared" si="14"/>
        <v>4153409NULL</v>
      </c>
      <c r="AO495" t="str">
        <f t="shared" si="15"/>
        <v>4153409NULL</v>
      </c>
      <c r="AP495" s="1758" t="s">
        <v>774</v>
      </c>
      <c r="AQ495" s="1759">
        <v>4153409</v>
      </c>
      <c r="AR495" s="1758" t="s">
        <v>775</v>
      </c>
      <c r="AS495" s="1758">
        <v>14800</v>
      </c>
      <c r="AT495" s="1759">
        <v>14800</v>
      </c>
      <c r="AU495" s="1758" t="s">
        <v>775</v>
      </c>
      <c r="AV495" s="1758">
        <v>0</v>
      </c>
      <c r="AW495" s="1758" t="s">
        <v>775</v>
      </c>
      <c r="AX495" s="1758" t="s">
        <v>775</v>
      </c>
      <c r="AY495" s="1758" t="s">
        <v>775</v>
      </c>
      <c r="AZ495" s="1758" t="s">
        <v>775</v>
      </c>
      <c r="BA495" s="1758" t="s">
        <v>775</v>
      </c>
      <c r="BB495" s="1758" t="s">
        <v>775</v>
      </c>
      <c r="BC495" t="s">
        <v>775</v>
      </c>
      <c r="BD495" t="s">
        <v>775</v>
      </c>
    </row>
    <row r="496" spans="40:56" ht="12" customHeight="1">
      <c r="AN496" t="str">
        <f t="shared" si="14"/>
        <v>4111894NULL</v>
      </c>
      <c r="AO496" t="str">
        <f t="shared" si="15"/>
        <v>4111894NULL</v>
      </c>
      <c r="AP496" s="1758" t="s">
        <v>774</v>
      </c>
      <c r="AQ496" s="1759">
        <v>4111894</v>
      </c>
      <c r="AR496" s="1758" t="s">
        <v>775</v>
      </c>
      <c r="AS496" s="1758">
        <v>19000</v>
      </c>
      <c r="AT496" s="1760">
        <v>19000</v>
      </c>
      <c r="AU496" s="1758" t="s">
        <v>775</v>
      </c>
      <c r="AV496" s="1758">
        <v>0</v>
      </c>
      <c r="AW496" s="1758" t="s">
        <v>775</v>
      </c>
      <c r="AX496" s="1758" t="s">
        <v>775</v>
      </c>
      <c r="AY496" s="1758" t="s">
        <v>775</v>
      </c>
      <c r="AZ496" s="1758" t="s">
        <v>775</v>
      </c>
      <c r="BA496" s="1758" t="s">
        <v>775</v>
      </c>
      <c r="BB496" s="1758" t="s">
        <v>775</v>
      </c>
      <c r="BC496" t="s">
        <v>775</v>
      </c>
      <c r="BD496" t="s">
        <v>775</v>
      </c>
    </row>
    <row r="497" spans="40:56" ht="12" customHeight="1">
      <c r="AN497" t="str">
        <f t="shared" si="14"/>
        <v>4112702NULL</v>
      </c>
      <c r="AO497" t="str">
        <f t="shared" si="15"/>
        <v>4112702NULL</v>
      </c>
      <c r="AP497" s="1758" t="s">
        <v>774</v>
      </c>
      <c r="AQ497" s="1759">
        <v>4112702</v>
      </c>
      <c r="AR497" s="1758" t="s">
        <v>775</v>
      </c>
      <c r="AS497" s="1758">
        <v>11500</v>
      </c>
      <c r="AT497" s="1759">
        <v>11500</v>
      </c>
      <c r="AU497" s="1758" t="s">
        <v>775</v>
      </c>
      <c r="AV497" s="1758">
        <v>0</v>
      </c>
      <c r="AW497" s="1758" t="s">
        <v>775</v>
      </c>
      <c r="AX497" s="1758" t="s">
        <v>775</v>
      </c>
      <c r="AY497" s="1758" t="s">
        <v>775</v>
      </c>
      <c r="AZ497" s="1758" t="s">
        <v>775</v>
      </c>
      <c r="BA497" s="1758" t="s">
        <v>775</v>
      </c>
      <c r="BB497" s="1758" t="s">
        <v>775</v>
      </c>
      <c r="BC497" t="s">
        <v>775</v>
      </c>
      <c r="BD497" t="s">
        <v>775</v>
      </c>
    </row>
    <row r="498" spans="40:56" ht="12" customHeight="1">
      <c r="AN498" t="str">
        <f t="shared" si="14"/>
        <v>4112124NULL</v>
      </c>
      <c r="AO498" t="str">
        <f t="shared" si="15"/>
        <v>4112124NULL</v>
      </c>
      <c r="AP498" s="1758" t="s">
        <v>774</v>
      </c>
      <c r="AQ498" s="1759">
        <v>4112124</v>
      </c>
      <c r="AR498" s="1758" t="s">
        <v>775</v>
      </c>
      <c r="AS498" s="1758">
        <v>13100</v>
      </c>
      <c r="AT498" s="1760">
        <v>13100</v>
      </c>
      <c r="AU498" s="1758" t="s">
        <v>775</v>
      </c>
      <c r="AV498" s="1758">
        <v>0</v>
      </c>
      <c r="AW498" s="1758" t="s">
        <v>775</v>
      </c>
      <c r="AX498" s="1758" t="s">
        <v>775</v>
      </c>
      <c r="AY498" s="1758" t="s">
        <v>775</v>
      </c>
      <c r="AZ498" s="1758" t="s">
        <v>775</v>
      </c>
      <c r="BA498" s="1758" t="s">
        <v>775</v>
      </c>
      <c r="BB498" s="1758" t="s">
        <v>775</v>
      </c>
      <c r="BC498" t="s">
        <v>775</v>
      </c>
      <c r="BD498" t="s">
        <v>775</v>
      </c>
    </row>
    <row r="499" spans="40:56" ht="12" customHeight="1">
      <c r="AN499" t="str">
        <f t="shared" si="14"/>
        <v>41128501356383202</v>
      </c>
      <c r="AO499" t="str">
        <f t="shared" si="15"/>
        <v>4112850100847100</v>
      </c>
      <c r="AP499" s="1758" t="s">
        <v>774</v>
      </c>
      <c r="AQ499" s="1759">
        <v>4112850</v>
      </c>
      <c r="AR499" s="1758" t="s">
        <v>775</v>
      </c>
      <c r="AS499" s="1758">
        <v>40710</v>
      </c>
      <c r="AT499" s="1760">
        <v>40710</v>
      </c>
      <c r="AU499" s="1758">
        <v>1356383202</v>
      </c>
      <c r="AV499" s="1758">
        <v>1356383202</v>
      </c>
      <c r="AW499" s="1758">
        <v>100847100</v>
      </c>
      <c r="AX499" s="1758" t="s">
        <v>775</v>
      </c>
      <c r="AY499" s="1758" t="s">
        <v>775</v>
      </c>
      <c r="AZ499" s="1758" t="s">
        <v>775</v>
      </c>
      <c r="BA499" s="1758" t="s">
        <v>775</v>
      </c>
      <c r="BB499" s="1758" t="s">
        <v>775</v>
      </c>
      <c r="BC499" t="s">
        <v>775</v>
      </c>
      <c r="BD499" t="s">
        <v>775</v>
      </c>
    </row>
    <row r="500" spans="40:56" ht="12" customHeight="1">
      <c r="AN500" t="str">
        <f t="shared" si="14"/>
        <v>4112801NULL</v>
      </c>
      <c r="AO500" t="str">
        <f t="shared" si="15"/>
        <v>4112801NULL</v>
      </c>
      <c r="AP500" s="1758" t="s">
        <v>774</v>
      </c>
      <c r="AQ500" s="1759">
        <v>4112801</v>
      </c>
      <c r="AR500" s="1758" t="s">
        <v>775</v>
      </c>
      <c r="AS500" s="1758">
        <v>40700</v>
      </c>
      <c r="AT500" s="1760">
        <v>40700</v>
      </c>
      <c r="AU500" s="1758" t="s">
        <v>775</v>
      </c>
      <c r="AV500" s="1758">
        <v>0</v>
      </c>
      <c r="AW500" s="1758" t="s">
        <v>775</v>
      </c>
      <c r="AX500" s="1758" t="s">
        <v>775</v>
      </c>
      <c r="AY500" s="1758" t="s">
        <v>775</v>
      </c>
      <c r="AZ500" s="1758" t="s">
        <v>775</v>
      </c>
      <c r="BA500" s="1758" t="s">
        <v>775</v>
      </c>
      <c r="BB500" s="1758" t="s">
        <v>775</v>
      </c>
      <c r="BC500" t="s">
        <v>775</v>
      </c>
      <c r="BD500" t="s">
        <v>775</v>
      </c>
    </row>
    <row r="501" spans="40:56" ht="12" customHeight="1">
      <c r="AN501" t="str">
        <f t="shared" si="14"/>
        <v>41129181740274695</v>
      </c>
      <c r="AO501" t="str">
        <f t="shared" si="15"/>
        <v>4112918101782900</v>
      </c>
      <c r="AP501" s="1758" t="s">
        <v>774</v>
      </c>
      <c r="AQ501" s="1759">
        <v>4112918</v>
      </c>
      <c r="AR501" s="1758" t="s">
        <v>775</v>
      </c>
      <c r="AS501" s="1758">
        <v>14700</v>
      </c>
      <c r="AT501" s="1760">
        <v>14700</v>
      </c>
      <c r="AU501" s="1758">
        <v>1740274695</v>
      </c>
      <c r="AV501" s="1758">
        <v>1740274695</v>
      </c>
      <c r="AW501" s="1758">
        <v>101782900</v>
      </c>
      <c r="AX501" s="1758" t="s">
        <v>775</v>
      </c>
      <c r="AY501" s="1758" t="s">
        <v>775</v>
      </c>
      <c r="AZ501" s="1758" t="s">
        <v>775</v>
      </c>
      <c r="BA501" s="1758" t="s">
        <v>775</v>
      </c>
      <c r="BB501" s="1758" t="s">
        <v>775</v>
      </c>
      <c r="BC501" t="s">
        <v>775</v>
      </c>
      <c r="BD501" t="s">
        <v>775</v>
      </c>
    </row>
    <row r="502" spans="40:56" ht="12" customHeight="1">
      <c r="AN502" t="str">
        <f t="shared" si="14"/>
        <v>4112108NULL</v>
      </c>
      <c r="AO502" t="str">
        <f t="shared" si="15"/>
        <v>4112108NULL</v>
      </c>
      <c r="AP502" s="1758" t="s">
        <v>774</v>
      </c>
      <c r="AQ502" s="1759">
        <v>4112108</v>
      </c>
      <c r="AR502" s="1758" t="s">
        <v>775</v>
      </c>
      <c r="AS502" s="1758">
        <v>8100</v>
      </c>
      <c r="AT502" s="1760">
        <v>8100</v>
      </c>
      <c r="AU502" s="1758" t="s">
        <v>775</v>
      </c>
      <c r="AV502" s="1758">
        <v>0</v>
      </c>
      <c r="AW502" s="1758" t="s">
        <v>775</v>
      </c>
      <c r="AX502" s="1758" t="s">
        <v>775</v>
      </c>
      <c r="AY502" s="1758" t="s">
        <v>775</v>
      </c>
      <c r="AZ502" s="1758" t="s">
        <v>775</v>
      </c>
      <c r="BA502" s="1758" t="s">
        <v>775</v>
      </c>
      <c r="BB502" s="1758" t="s">
        <v>775</v>
      </c>
      <c r="BC502" t="s">
        <v>775</v>
      </c>
      <c r="BD502" t="s">
        <v>775</v>
      </c>
    </row>
    <row r="503" spans="40:56" ht="12" customHeight="1">
      <c r="AN503" t="str">
        <f t="shared" si="14"/>
        <v>4112090NULL</v>
      </c>
      <c r="AO503" t="str">
        <f t="shared" si="15"/>
        <v>4112090NULL</v>
      </c>
      <c r="AP503" s="1758" t="s">
        <v>774</v>
      </c>
      <c r="AQ503" s="1759">
        <v>4112090</v>
      </c>
      <c r="AR503" s="1758" t="s">
        <v>775</v>
      </c>
      <c r="AS503" s="1758">
        <v>5100</v>
      </c>
      <c r="AT503" s="1760">
        <v>5100</v>
      </c>
      <c r="AU503" s="1758" t="s">
        <v>775</v>
      </c>
      <c r="AV503" s="1758">
        <v>0</v>
      </c>
      <c r="AW503" s="1758" t="s">
        <v>775</v>
      </c>
      <c r="AX503" s="1758" t="s">
        <v>775</v>
      </c>
      <c r="AY503" s="1758" t="s">
        <v>775</v>
      </c>
      <c r="AZ503" s="1758" t="s">
        <v>775</v>
      </c>
      <c r="BA503" s="1758" t="s">
        <v>775</v>
      </c>
      <c r="BB503" s="1758" t="s">
        <v>775</v>
      </c>
      <c r="BC503" t="s">
        <v>775</v>
      </c>
      <c r="BD503" t="s">
        <v>775</v>
      </c>
    </row>
    <row r="504" spans="40:56" ht="12" customHeight="1">
      <c r="AN504" t="str">
        <f t="shared" si="14"/>
        <v>41120821992750558</v>
      </c>
      <c r="AO504" t="str">
        <f t="shared" si="15"/>
        <v>4112082NULL</v>
      </c>
      <c r="AP504" s="1758" t="s">
        <v>774</v>
      </c>
      <c r="AQ504" s="1759">
        <v>4112082</v>
      </c>
      <c r="AR504" s="1758" t="s">
        <v>775</v>
      </c>
      <c r="AS504" s="1758">
        <v>1700</v>
      </c>
      <c r="AT504" s="1760">
        <v>1700</v>
      </c>
      <c r="AU504" s="1758">
        <v>1992750558</v>
      </c>
      <c r="AV504" s="1758">
        <v>1992750558</v>
      </c>
      <c r="AW504" s="1758" t="s">
        <v>775</v>
      </c>
      <c r="AX504" s="1758" t="s">
        <v>775</v>
      </c>
      <c r="AY504" s="1758" t="s">
        <v>775</v>
      </c>
      <c r="AZ504" s="1758" t="s">
        <v>775</v>
      </c>
      <c r="BA504" s="1758" t="s">
        <v>775</v>
      </c>
      <c r="BB504" s="1758" t="s">
        <v>775</v>
      </c>
      <c r="BC504" t="s">
        <v>775</v>
      </c>
      <c r="BD504" t="s">
        <v>775</v>
      </c>
    </row>
    <row r="505" spans="40:56" ht="12" customHeight="1">
      <c r="AN505" t="str">
        <f t="shared" si="14"/>
        <v>4112074NULL</v>
      </c>
      <c r="AO505" t="str">
        <f t="shared" si="15"/>
        <v>4112074NULL</v>
      </c>
      <c r="AP505" s="1758" t="s">
        <v>774</v>
      </c>
      <c r="AQ505" s="1759">
        <v>4112074</v>
      </c>
      <c r="AR505" s="1758" t="s">
        <v>775</v>
      </c>
      <c r="AS505" s="1758">
        <v>7800</v>
      </c>
      <c r="AT505" s="1759">
        <v>7800</v>
      </c>
      <c r="AU505" s="1758" t="s">
        <v>775</v>
      </c>
      <c r="AV505" s="1758">
        <v>0</v>
      </c>
      <c r="AW505" s="1758" t="s">
        <v>775</v>
      </c>
      <c r="AX505" s="1758" t="s">
        <v>775</v>
      </c>
      <c r="AY505" s="1758" t="s">
        <v>775</v>
      </c>
      <c r="AZ505" s="1758" t="s">
        <v>775</v>
      </c>
      <c r="BA505" s="1758" t="s">
        <v>775</v>
      </c>
      <c r="BB505" s="1758" t="s">
        <v>775</v>
      </c>
      <c r="BC505" t="s">
        <v>775</v>
      </c>
      <c r="BD505" t="s">
        <v>775</v>
      </c>
    </row>
    <row r="506" spans="40:56" ht="12" customHeight="1">
      <c r="AN506" t="str">
        <f t="shared" si="14"/>
        <v>4112066NULL</v>
      </c>
      <c r="AO506" t="str">
        <f t="shared" si="15"/>
        <v>4112066NULL</v>
      </c>
      <c r="AP506" s="1758" t="s">
        <v>774</v>
      </c>
      <c r="AQ506" s="1759">
        <v>4112066</v>
      </c>
      <c r="AR506" s="1758" t="s">
        <v>775</v>
      </c>
      <c r="AS506" s="1758">
        <v>11700</v>
      </c>
      <c r="AT506" s="1759">
        <v>11700</v>
      </c>
      <c r="AU506" s="1758" t="s">
        <v>775</v>
      </c>
      <c r="AV506" s="1758">
        <v>0</v>
      </c>
      <c r="AW506" s="1758" t="s">
        <v>775</v>
      </c>
      <c r="AX506" s="1758" t="s">
        <v>775</v>
      </c>
      <c r="AY506" s="1758" t="s">
        <v>775</v>
      </c>
      <c r="AZ506" s="1758" t="s">
        <v>775</v>
      </c>
      <c r="BA506" s="1758" t="s">
        <v>775</v>
      </c>
      <c r="BB506" s="1758" t="s">
        <v>775</v>
      </c>
      <c r="BC506" t="s">
        <v>775</v>
      </c>
      <c r="BD506" t="s">
        <v>775</v>
      </c>
    </row>
    <row r="507" spans="40:56" ht="12" customHeight="1">
      <c r="AN507" t="str">
        <f t="shared" si="14"/>
        <v>4112009NULL</v>
      </c>
      <c r="AO507" t="str">
        <f t="shared" si="15"/>
        <v>4112009NULL</v>
      </c>
      <c r="AP507" s="1758" t="s">
        <v>774</v>
      </c>
      <c r="AQ507" s="1759">
        <v>4112009</v>
      </c>
      <c r="AR507" s="1758" t="s">
        <v>775</v>
      </c>
      <c r="AS507" s="1758">
        <v>12300</v>
      </c>
      <c r="AT507" s="1759">
        <v>12300</v>
      </c>
      <c r="AU507" s="1758" t="s">
        <v>775</v>
      </c>
      <c r="AV507" s="1758">
        <v>0</v>
      </c>
      <c r="AW507" s="1758" t="s">
        <v>775</v>
      </c>
      <c r="AX507" s="1758" t="s">
        <v>775</v>
      </c>
      <c r="AY507" s="1758" t="s">
        <v>775</v>
      </c>
      <c r="AZ507" s="1758" t="s">
        <v>775</v>
      </c>
      <c r="BA507" s="1758" t="s">
        <v>775</v>
      </c>
      <c r="BB507" s="1758" t="s">
        <v>775</v>
      </c>
      <c r="BC507" t="s">
        <v>775</v>
      </c>
      <c r="BD507" t="s">
        <v>775</v>
      </c>
    </row>
    <row r="508" spans="40:56" ht="12" customHeight="1">
      <c r="AN508" t="str">
        <f t="shared" si="14"/>
        <v>4112777NULL</v>
      </c>
      <c r="AO508" t="str">
        <f t="shared" si="15"/>
        <v>4112777NULL</v>
      </c>
      <c r="AP508" s="1758" t="s">
        <v>774</v>
      </c>
      <c r="AQ508" s="1759">
        <v>4112777</v>
      </c>
      <c r="AR508" s="1758" t="s">
        <v>775</v>
      </c>
      <c r="AS508" s="1758">
        <v>40690</v>
      </c>
      <c r="AT508" s="1759">
        <v>40690</v>
      </c>
      <c r="AU508" s="1758" t="s">
        <v>775</v>
      </c>
      <c r="AV508" s="1758">
        <v>0</v>
      </c>
      <c r="AW508" s="1758" t="s">
        <v>775</v>
      </c>
      <c r="AX508" s="1758" t="s">
        <v>775</v>
      </c>
      <c r="AY508" s="1758" t="s">
        <v>775</v>
      </c>
      <c r="AZ508" s="1758" t="s">
        <v>775</v>
      </c>
      <c r="BA508" s="1758" t="s">
        <v>775</v>
      </c>
      <c r="BB508" s="1758" t="s">
        <v>775</v>
      </c>
      <c r="BC508" t="s">
        <v>775</v>
      </c>
      <c r="BD508" t="s">
        <v>775</v>
      </c>
    </row>
    <row r="509" spans="40:56" ht="12" customHeight="1">
      <c r="AN509" t="str">
        <f t="shared" si="14"/>
        <v>4113759NULL</v>
      </c>
      <c r="AO509" t="str">
        <f t="shared" si="15"/>
        <v>4113759102440400</v>
      </c>
      <c r="AP509" s="1758" t="s">
        <v>774</v>
      </c>
      <c r="AQ509" s="1759">
        <v>4113759</v>
      </c>
      <c r="AR509" s="1758" t="s">
        <v>775</v>
      </c>
      <c r="AS509" s="1758">
        <v>7600</v>
      </c>
      <c r="AT509" s="1759">
        <v>7600</v>
      </c>
      <c r="AU509" s="1758" t="s">
        <v>775</v>
      </c>
      <c r="AV509" s="1758">
        <v>0</v>
      </c>
      <c r="AW509" s="1758">
        <v>102440400</v>
      </c>
      <c r="AX509" s="1758" t="s">
        <v>775</v>
      </c>
      <c r="AY509" s="1758" t="s">
        <v>775</v>
      </c>
      <c r="AZ509" s="1758" t="s">
        <v>775</v>
      </c>
      <c r="BA509" s="1758" t="s">
        <v>775</v>
      </c>
      <c r="BB509" s="1758" t="s">
        <v>775</v>
      </c>
      <c r="BC509" t="s">
        <v>775</v>
      </c>
      <c r="BD509" t="s">
        <v>775</v>
      </c>
    </row>
    <row r="510" spans="40:56" ht="12" customHeight="1">
      <c r="AN510" t="str">
        <f t="shared" si="14"/>
        <v>41871181467497511</v>
      </c>
      <c r="AO510" t="str">
        <f t="shared" si="15"/>
        <v>4187118104433200</v>
      </c>
      <c r="AP510" s="1758" t="s">
        <v>774</v>
      </c>
      <c r="AQ510" s="1759">
        <v>4187118</v>
      </c>
      <c r="AR510" s="1758" t="s">
        <v>775</v>
      </c>
      <c r="AS510" s="1758">
        <v>29010</v>
      </c>
      <c r="AT510" s="1759">
        <v>29010</v>
      </c>
      <c r="AU510" s="1758">
        <v>1467497511</v>
      </c>
      <c r="AV510" s="1758">
        <v>1467497511</v>
      </c>
      <c r="AW510" s="1758">
        <v>104433200</v>
      </c>
      <c r="AX510" s="1758" t="s">
        <v>775</v>
      </c>
      <c r="AY510" s="1758" t="s">
        <v>775</v>
      </c>
      <c r="AZ510" s="1758" t="s">
        <v>775</v>
      </c>
      <c r="BA510" s="1758" t="s">
        <v>775</v>
      </c>
      <c r="BB510" s="1758" t="s">
        <v>775</v>
      </c>
      <c r="BC510" t="s">
        <v>775</v>
      </c>
      <c r="BD510" t="s">
        <v>775</v>
      </c>
    </row>
    <row r="511" spans="40:56" ht="12" customHeight="1">
      <c r="AN511" t="str">
        <f t="shared" si="14"/>
        <v>4198305NULL</v>
      </c>
      <c r="AO511" t="str">
        <f t="shared" si="15"/>
        <v>4198305102773200</v>
      </c>
      <c r="AP511" s="1758" t="s">
        <v>774</v>
      </c>
      <c r="AQ511" s="1759">
        <v>4198305</v>
      </c>
      <c r="AR511" s="1758" t="s">
        <v>775</v>
      </c>
      <c r="AS511" s="1758">
        <v>10300</v>
      </c>
      <c r="AT511" s="1759">
        <v>10300</v>
      </c>
      <c r="AU511" s="1758" t="s">
        <v>775</v>
      </c>
      <c r="AV511" s="1758">
        <v>0</v>
      </c>
      <c r="AW511" s="1758">
        <v>102773200</v>
      </c>
      <c r="AX511" s="1758" t="s">
        <v>775</v>
      </c>
      <c r="AY511" s="1758" t="s">
        <v>775</v>
      </c>
      <c r="AZ511" s="1758" t="s">
        <v>775</v>
      </c>
      <c r="BA511" s="1758" t="s">
        <v>775</v>
      </c>
      <c r="BB511" s="1758" t="s">
        <v>775</v>
      </c>
      <c r="BC511" t="s">
        <v>775</v>
      </c>
      <c r="BD511" t="s">
        <v>775</v>
      </c>
    </row>
    <row r="512" spans="40:56" ht="12" customHeight="1">
      <c r="AN512" t="str">
        <f t="shared" si="14"/>
        <v>42080051477666311</v>
      </c>
      <c r="AO512" t="str">
        <f t="shared" si="15"/>
        <v>4208005101142800</v>
      </c>
      <c r="AP512" s="1758" t="s">
        <v>774</v>
      </c>
      <c r="AQ512" s="1759">
        <v>4208005</v>
      </c>
      <c r="AR512" s="1758" t="s">
        <v>775</v>
      </c>
      <c r="AS512" s="1758">
        <v>31100</v>
      </c>
      <c r="AT512" s="1760">
        <v>31100</v>
      </c>
      <c r="AU512" s="1758">
        <v>1477666311</v>
      </c>
      <c r="AV512" s="1758">
        <v>1477666311</v>
      </c>
      <c r="AW512" s="1758">
        <v>101142800</v>
      </c>
      <c r="AX512" s="1758" t="s">
        <v>775</v>
      </c>
      <c r="AY512" s="1758" t="s">
        <v>775</v>
      </c>
      <c r="AZ512" s="1758" t="s">
        <v>775</v>
      </c>
      <c r="BA512" s="1758" t="s">
        <v>775</v>
      </c>
      <c r="BB512" s="1758" t="s">
        <v>775</v>
      </c>
      <c r="BC512" t="s">
        <v>775</v>
      </c>
      <c r="BD512" t="s">
        <v>775</v>
      </c>
    </row>
    <row r="513" spans="40:56" ht="12" customHeight="1">
      <c r="AN513" t="str">
        <f t="shared" si="14"/>
        <v>42120151447401260</v>
      </c>
      <c r="AO513" t="str">
        <f t="shared" si="15"/>
        <v>4212015200107800</v>
      </c>
      <c r="AP513" s="1758" t="s">
        <v>774</v>
      </c>
      <c r="AQ513" s="1759">
        <v>4212015</v>
      </c>
      <c r="AR513" s="1758" t="s">
        <v>775</v>
      </c>
      <c r="AS513" s="1758">
        <v>40530</v>
      </c>
      <c r="AT513" s="1759">
        <v>40530</v>
      </c>
      <c r="AU513" s="1758">
        <v>1447401260</v>
      </c>
      <c r="AV513" s="1758">
        <v>1447401260</v>
      </c>
      <c r="AW513" s="1758">
        <v>200107800</v>
      </c>
      <c r="AX513" s="1758" t="s">
        <v>775</v>
      </c>
      <c r="AY513" s="1758" t="s">
        <v>775</v>
      </c>
      <c r="AZ513" s="1758" t="s">
        <v>775</v>
      </c>
      <c r="BA513" s="1758" t="s">
        <v>775</v>
      </c>
      <c r="BB513" s="1758" t="s">
        <v>775</v>
      </c>
      <c r="BC513" t="s">
        <v>775</v>
      </c>
      <c r="BD513" t="s">
        <v>775</v>
      </c>
    </row>
    <row r="514" spans="40:56" ht="12" customHeight="1">
      <c r="AN514" t="str">
        <f t="shared" si="14"/>
        <v>41602061306834627</v>
      </c>
      <c r="AO514" t="str">
        <f t="shared" si="15"/>
        <v>4160206100719700</v>
      </c>
      <c r="AP514" s="1758" t="s">
        <v>774</v>
      </c>
      <c r="AQ514" s="1759">
        <v>4160206</v>
      </c>
      <c r="AR514" s="1758" t="s">
        <v>775</v>
      </c>
      <c r="AS514" s="1758">
        <v>26040</v>
      </c>
      <c r="AT514" s="1760">
        <v>26040</v>
      </c>
      <c r="AU514" s="1758">
        <v>1306834627</v>
      </c>
      <c r="AV514" s="1758">
        <v>1306834627</v>
      </c>
      <c r="AW514" s="1758">
        <v>100719700</v>
      </c>
      <c r="AX514" s="1758" t="s">
        <v>775</v>
      </c>
      <c r="AY514" s="1758" t="s">
        <v>775</v>
      </c>
      <c r="AZ514" s="1758" t="s">
        <v>775</v>
      </c>
      <c r="BA514" s="1758" t="s">
        <v>775</v>
      </c>
      <c r="BB514" s="1758" t="s">
        <v>775</v>
      </c>
      <c r="BC514" t="s">
        <v>775</v>
      </c>
      <c r="BD514" t="s">
        <v>775</v>
      </c>
    </row>
    <row r="515" spans="40:56" ht="12" customHeight="1">
      <c r="AN515" t="str">
        <f t="shared" si="14"/>
        <v>41125461033136940</v>
      </c>
      <c r="AO515" t="str">
        <f t="shared" si="15"/>
        <v>4112546100077900</v>
      </c>
      <c r="AP515" s="1758" t="s">
        <v>774</v>
      </c>
      <c r="AQ515" s="1759">
        <v>4112546</v>
      </c>
      <c r="AR515" s="1758" t="s">
        <v>775</v>
      </c>
      <c r="AS515" s="1758">
        <v>12800</v>
      </c>
      <c r="AT515" s="1759">
        <v>12800</v>
      </c>
      <c r="AU515" s="1758">
        <v>1033136940</v>
      </c>
      <c r="AV515" s="1758">
        <v>1033136940</v>
      </c>
      <c r="AW515" s="1758">
        <v>100077900</v>
      </c>
      <c r="AX515" s="1758" t="s">
        <v>775</v>
      </c>
      <c r="AY515" s="1758" t="s">
        <v>775</v>
      </c>
      <c r="AZ515" s="1758" t="s">
        <v>775</v>
      </c>
      <c r="BA515" s="1758" t="s">
        <v>775</v>
      </c>
      <c r="BB515" s="1758" t="s">
        <v>775</v>
      </c>
      <c r="BC515" t="s">
        <v>775</v>
      </c>
      <c r="BD515" t="s">
        <v>775</v>
      </c>
    </row>
    <row r="516" spans="40:56" ht="12" customHeight="1">
      <c r="AN516" t="str">
        <f t="shared" si="14"/>
        <v>4179909NULL</v>
      </c>
      <c r="AO516" t="str">
        <f t="shared" si="15"/>
        <v>4179909NULL</v>
      </c>
      <c r="AP516" s="1758" t="s">
        <v>774</v>
      </c>
      <c r="AQ516" s="1759">
        <v>4179909</v>
      </c>
      <c r="AR516" s="1758" t="s">
        <v>987</v>
      </c>
      <c r="AS516" s="1758">
        <v>24600</v>
      </c>
      <c r="AT516" s="1759">
        <v>24600</v>
      </c>
      <c r="AU516" s="1758" t="s">
        <v>775</v>
      </c>
      <c r="AV516" s="1758">
        <v>0</v>
      </c>
      <c r="AW516" s="1758" t="s">
        <v>775</v>
      </c>
      <c r="AX516" s="1758" t="s">
        <v>775</v>
      </c>
      <c r="AY516" s="1758" t="s">
        <v>775</v>
      </c>
      <c r="AZ516" s="1758" t="s">
        <v>775</v>
      </c>
      <c r="BA516" s="1758" t="s">
        <v>775</v>
      </c>
      <c r="BB516" s="1758" t="s">
        <v>775</v>
      </c>
      <c r="BC516" t="s">
        <v>775</v>
      </c>
      <c r="BD516" t="s">
        <v>775</v>
      </c>
    </row>
    <row r="517" spans="40:56" ht="12" customHeight="1">
      <c r="AN517" t="str">
        <f aca="true" t="shared" si="16" ref="AN517:AN580">AQ517&amp;AU517</f>
        <v>41137671699760025</v>
      </c>
      <c r="AO517" t="str">
        <f aca="true" t="shared" si="17" ref="AO517:AO580">AQ517&amp;AW517</f>
        <v>4113767101659700</v>
      </c>
      <c r="AP517" s="1758" t="s">
        <v>774</v>
      </c>
      <c r="AQ517" s="1759">
        <v>4113767</v>
      </c>
      <c r="AR517" s="1758" t="s">
        <v>775</v>
      </c>
      <c r="AS517" s="1758">
        <v>14000</v>
      </c>
      <c r="AT517" s="1759">
        <v>14000</v>
      </c>
      <c r="AU517" s="1758">
        <v>1699760025</v>
      </c>
      <c r="AV517" s="1758">
        <v>1699760025</v>
      </c>
      <c r="AW517" s="1758">
        <v>101659700</v>
      </c>
      <c r="AX517" s="1758" t="s">
        <v>775</v>
      </c>
      <c r="AY517" s="1758" t="s">
        <v>775</v>
      </c>
      <c r="AZ517" s="1758" t="s">
        <v>775</v>
      </c>
      <c r="BA517" s="1758" t="s">
        <v>775</v>
      </c>
      <c r="BB517" s="1758" t="s">
        <v>775</v>
      </c>
      <c r="BC517" t="s">
        <v>775</v>
      </c>
      <c r="BD517" t="s">
        <v>775</v>
      </c>
    </row>
    <row r="518" spans="40:56" ht="12" customHeight="1">
      <c r="AN518" t="str">
        <f t="shared" si="16"/>
        <v>4112751NULL</v>
      </c>
      <c r="AO518" t="str">
        <f t="shared" si="17"/>
        <v>4112751NULL</v>
      </c>
      <c r="AP518" s="1758" t="s">
        <v>774</v>
      </c>
      <c r="AQ518" s="1759">
        <v>4112751</v>
      </c>
      <c r="AR518" s="1758" t="s">
        <v>775</v>
      </c>
      <c r="AS518" s="1758">
        <v>22900</v>
      </c>
      <c r="AT518" s="1759">
        <v>22900</v>
      </c>
      <c r="AU518" s="1758" t="s">
        <v>775</v>
      </c>
      <c r="AV518" s="1758">
        <v>0</v>
      </c>
      <c r="AW518" s="1758" t="s">
        <v>775</v>
      </c>
      <c r="AX518" s="1758" t="s">
        <v>775</v>
      </c>
      <c r="AY518" s="1758" t="s">
        <v>775</v>
      </c>
      <c r="AZ518" s="1758" t="s">
        <v>775</v>
      </c>
      <c r="BA518" s="1758" t="s">
        <v>775</v>
      </c>
      <c r="BB518" s="1758" t="s">
        <v>775</v>
      </c>
      <c r="BC518" t="s">
        <v>775</v>
      </c>
      <c r="BD518" t="s">
        <v>775</v>
      </c>
    </row>
    <row r="519" spans="40:56" ht="12" customHeight="1">
      <c r="AN519" t="str">
        <f t="shared" si="16"/>
        <v>41134941992700249</v>
      </c>
      <c r="AO519" t="str">
        <f t="shared" si="17"/>
        <v>4113494102385300</v>
      </c>
      <c r="AP519" s="1758" t="s">
        <v>774</v>
      </c>
      <c r="AQ519" s="1759">
        <v>4113494</v>
      </c>
      <c r="AR519" s="1758" t="s">
        <v>775</v>
      </c>
      <c r="AS519" s="1758">
        <v>10500</v>
      </c>
      <c r="AT519" s="1759">
        <v>10500</v>
      </c>
      <c r="AU519" s="1758">
        <v>1992700249</v>
      </c>
      <c r="AV519" s="1758">
        <v>1992700249</v>
      </c>
      <c r="AW519" s="1758">
        <v>102385300</v>
      </c>
      <c r="AX519" s="1758" t="s">
        <v>775</v>
      </c>
      <c r="AY519" s="1758" t="s">
        <v>775</v>
      </c>
      <c r="AZ519" s="1758" t="s">
        <v>775</v>
      </c>
      <c r="BA519" s="1758" t="s">
        <v>775</v>
      </c>
      <c r="BB519" s="1758" t="s">
        <v>775</v>
      </c>
      <c r="BC519" t="s">
        <v>775</v>
      </c>
      <c r="BD519" t="s">
        <v>775</v>
      </c>
    </row>
    <row r="520" spans="40:56" ht="12" customHeight="1">
      <c r="AN520" t="str">
        <f t="shared" si="16"/>
        <v>4113478NULL</v>
      </c>
      <c r="AO520" t="str">
        <f t="shared" si="17"/>
        <v>4113478102968300</v>
      </c>
      <c r="AP520" s="1758" t="s">
        <v>774</v>
      </c>
      <c r="AQ520" s="1759">
        <v>4113478</v>
      </c>
      <c r="AR520" s="1758" t="s">
        <v>775</v>
      </c>
      <c r="AS520" s="1758">
        <v>5600</v>
      </c>
      <c r="AT520" s="1759">
        <v>5600</v>
      </c>
      <c r="AU520" s="1758" t="s">
        <v>775</v>
      </c>
      <c r="AV520" s="1758">
        <v>0</v>
      </c>
      <c r="AW520" s="1758">
        <v>102968300</v>
      </c>
      <c r="AX520" s="1758" t="s">
        <v>775</v>
      </c>
      <c r="AY520" s="1758" t="s">
        <v>775</v>
      </c>
      <c r="AZ520" s="1758" t="s">
        <v>775</v>
      </c>
      <c r="BA520" s="1758" t="s">
        <v>775</v>
      </c>
      <c r="BB520" s="1758" t="s">
        <v>775</v>
      </c>
      <c r="BC520" t="s">
        <v>775</v>
      </c>
      <c r="BD520" t="s">
        <v>775</v>
      </c>
    </row>
    <row r="521" spans="40:56" ht="12" customHeight="1">
      <c r="AN521" t="str">
        <f t="shared" si="16"/>
        <v>41133531669419271</v>
      </c>
      <c r="AO521" t="str">
        <f t="shared" si="17"/>
        <v>4113353101580400</v>
      </c>
      <c r="AP521" s="1758" t="s">
        <v>774</v>
      </c>
      <c r="AQ521" s="1759">
        <v>4113353</v>
      </c>
      <c r="AR521" s="1758" t="s">
        <v>775</v>
      </c>
      <c r="AS521" s="1758">
        <v>19000</v>
      </c>
      <c r="AT521" s="1759">
        <v>19000</v>
      </c>
      <c r="AU521" s="1758">
        <v>1669419271</v>
      </c>
      <c r="AV521" s="1758">
        <v>1669419271</v>
      </c>
      <c r="AW521" s="1758">
        <v>101580400</v>
      </c>
      <c r="AX521" s="1758" t="s">
        <v>775</v>
      </c>
      <c r="AY521" s="1758" t="s">
        <v>775</v>
      </c>
      <c r="AZ521" s="1758" t="s">
        <v>775</v>
      </c>
      <c r="BA521" s="1758" t="s">
        <v>775</v>
      </c>
      <c r="BB521" s="1758" t="s">
        <v>775</v>
      </c>
      <c r="BC521" t="s">
        <v>775</v>
      </c>
      <c r="BD521" t="s">
        <v>775</v>
      </c>
    </row>
    <row r="522" spans="40:56" ht="12" customHeight="1">
      <c r="AN522" t="str">
        <f t="shared" si="16"/>
        <v>41132131396783809</v>
      </c>
      <c r="AO522" t="str">
        <f t="shared" si="17"/>
        <v>4113213100942900</v>
      </c>
      <c r="AP522" s="1758" t="s">
        <v>774</v>
      </c>
      <c r="AQ522" s="1759">
        <v>4113213</v>
      </c>
      <c r="AR522" s="1758" t="s">
        <v>775</v>
      </c>
      <c r="AS522" s="1758">
        <v>3500</v>
      </c>
      <c r="AT522" s="1760">
        <v>3500</v>
      </c>
      <c r="AU522" s="1758">
        <v>1396783809</v>
      </c>
      <c r="AV522" s="1758">
        <v>1396783809</v>
      </c>
      <c r="AW522" s="1758">
        <v>100942900</v>
      </c>
      <c r="AX522" s="1758" t="s">
        <v>775</v>
      </c>
      <c r="AY522" s="1758" t="s">
        <v>775</v>
      </c>
      <c r="AZ522" s="1758" t="s">
        <v>775</v>
      </c>
      <c r="BA522" s="1758" t="s">
        <v>775</v>
      </c>
      <c r="BB522" s="1758" t="s">
        <v>775</v>
      </c>
      <c r="BC522" t="s">
        <v>775</v>
      </c>
      <c r="BD522" t="s">
        <v>775</v>
      </c>
    </row>
    <row r="523" spans="40:56" ht="12" customHeight="1">
      <c r="AN523" t="str">
        <f t="shared" si="16"/>
        <v>41130721457346512</v>
      </c>
      <c r="AO523" t="str">
        <f t="shared" si="17"/>
        <v>4113072101080900</v>
      </c>
      <c r="AP523" s="1758" t="s">
        <v>774</v>
      </c>
      <c r="AQ523" s="1759">
        <v>4113072</v>
      </c>
      <c r="AR523" s="1758" t="s">
        <v>775</v>
      </c>
      <c r="AS523" s="1758">
        <v>6500</v>
      </c>
      <c r="AT523" s="1760">
        <v>6500</v>
      </c>
      <c r="AU523" s="1758">
        <v>1457346512</v>
      </c>
      <c r="AV523" s="1758">
        <v>1457346512</v>
      </c>
      <c r="AW523" s="1758">
        <v>101080900</v>
      </c>
      <c r="AX523" s="1758" t="s">
        <v>775</v>
      </c>
      <c r="AY523" s="1758" t="s">
        <v>775</v>
      </c>
      <c r="AZ523" s="1758" t="s">
        <v>775</v>
      </c>
      <c r="BA523" s="1758" t="s">
        <v>775</v>
      </c>
      <c r="BB523" s="1758" t="s">
        <v>775</v>
      </c>
      <c r="BC523" t="s">
        <v>775</v>
      </c>
      <c r="BD523" t="s">
        <v>775</v>
      </c>
    </row>
    <row r="524" spans="40:56" ht="12" customHeight="1">
      <c r="AN524" t="str">
        <f t="shared" si="16"/>
        <v>41129831316045537</v>
      </c>
      <c r="AO524" t="str">
        <f t="shared" si="17"/>
        <v>4112983100744600</v>
      </c>
      <c r="AP524" s="1758" t="s">
        <v>774</v>
      </c>
      <c r="AQ524" s="1759">
        <v>4112983</v>
      </c>
      <c r="AR524" s="1758" t="s">
        <v>987</v>
      </c>
      <c r="AS524" s="1758">
        <v>24600</v>
      </c>
      <c r="AT524" s="1760">
        <v>24600</v>
      </c>
      <c r="AU524" s="1758">
        <v>1316045537</v>
      </c>
      <c r="AV524" s="1758">
        <v>1316045537</v>
      </c>
      <c r="AW524" s="1758">
        <v>100744600</v>
      </c>
      <c r="AX524" s="1758" t="s">
        <v>775</v>
      </c>
      <c r="AY524" s="1758" t="s">
        <v>775</v>
      </c>
      <c r="AZ524" s="1758" t="s">
        <v>775</v>
      </c>
      <c r="BA524" s="1758" t="s">
        <v>775</v>
      </c>
      <c r="BB524" s="1758" t="s">
        <v>775</v>
      </c>
      <c r="BC524" t="s">
        <v>775</v>
      </c>
      <c r="BD524" t="s">
        <v>775</v>
      </c>
    </row>
    <row r="525" spans="40:56" ht="12" customHeight="1">
      <c r="AN525" t="str">
        <f t="shared" si="16"/>
        <v>41137911174774673</v>
      </c>
      <c r="AO525" t="str">
        <f t="shared" si="17"/>
        <v>4113791100769500</v>
      </c>
      <c r="AP525" s="1758" t="s">
        <v>774</v>
      </c>
      <c r="AQ525" s="1759">
        <v>4113791</v>
      </c>
      <c r="AR525" s="1758" t="s">
        <v>775</v>
      </c>
      <c r="AS525" s="1758">
        <v>23400</v>
      </c>
      <c r="AT525" s="1760">
        <v>23400</v>
      </c>
      <c r="AU525" s="1758">
        <v>1174774673</v>
      </c>
      <c r="AV525" s="1758">
        <v>1174774673</v>
      </c>
      <c r="AW525" s="1758">
        <v>100769500</v>
      </c>
      <c r="AX525" s="1758" t="s">
        <v>775</v>
      </c>
      <c r="AY525" s="1758" t="s">
        <v>775</v>
      </c>
      <c r="AZ525" s="1758" t="s">
        <v>775</v>
      </c>
      <c r="BA525" s="1758" t="s">
        <v>775</v>
      </c>
      <c r="BB525" s="1758" t="s">
        <v>775</v>
      </c>
      <c r="BC525" t="s">
        <v>775</v>
      </c>
      <c r="BD525" t="s">
        <v>775</v>
      </c>
    </row>
    <row r="526" spans="40:56" ht="12" customHeight="1">
      <c r="AN526" t="str">
        <f t="shared" si="16"/>
        <v>41123971780759977</v>
      </c>
      <c r="AO526" t="str">
        <f t="shared" si="17"/>
        <v>4112397NULL</v>
      </c>
      <c r="AP526" s="1758" t="s">
        <v>774</v>
      </c>
      <c r="AQ526" s="1759">
        <v>4112397</v>
      </c>
      <c r="AR526" s="1758" t="s">
        <v>775</v>
      </c>
      <c r="AS526" s="1758">
        <v>9500</v>
      </c>
      <c r="AT526" s="1760">
        <v>9500</v>
      </c>
      <c r="AU526" s="1758">
        <v>1780759977</v>
      </c>
      <c r="AV526" s="1758">
        <v>1780759977</v>
      </c>
      <c r="AW526" s="1758" t="s">
        <v>775</v>
      </c>
      <c r="AX526" s="1758" t="s">
        <v>775</v>
      </c>
      <c r="AY526" s="1758" t="s">
        <v>775</v>
      </c>
      <c r="AZ526" s="1758" t="s">
        <v>775</v>
      </c>
      <c r="BA526" s="1758" t="s">
        <v>775</v>
      </c>
      <c r="BB526" s="1758" t="s">
        <v>775</v>
      </c>
      <c r="BC526" t="s">
        <v>775</v>
      </c>
      <c r="BD526" t="s">
        <v>775</v>
      </c>
    </row>
    <row r="527" spans="40:56" ht="12" customHeight="1">
      <c r="AN527" t="str">
        <f t="shared" si="16"/>
        <v>4112678NULL</v>
      </c>
      <c r="AO527" t="str">
        <f t="shared" si="17"/>
        <v>4112678NULL</v>
      </c>
      <c r="AP527" s="1758" t="s">
        <v>774</v>
      </c>
      <c r="AQ527" s="1759">
        <v>4112678</v>
      </c>
      <c r="AR527" s="1758" t="s">
        <v>775</v>
      </c>
      <c r="AS527" s="1758">
        <v>7800</v>
      </c>
      <c r="AT527" s="1760">
        <v>7800</v>
      </c>
      <c r="AU527" s="1758" t="s">
        <v>775</v>
      </c>
      <c r="AV527" s="1758">
        <v>0</v>
      </c>
      <c r="AW527" s="1758" t="s">
        <v>775</v>
      </c>
      <c r="AX527" s="1758" t="s">
        <v>775</v>
      </c>
      <c r="AY527" s="1758" t="s">
        <v>775</v>
      </c>
      <c r="AZ527" s="1758" t="s">
        <v>775</v>
      </c>
      <c r="BA527" s="1758" t="s">
        <v>775</v>
      </c>
      <c r="BB527" s="1758" t="s">
        <v>775</v>
      </c>
      <c r="BC527" t="s">
        <v>775</v>
      </c>
      <c r="BD527" t="s">
        <v>775</v>
      </c>
    </row>
    <row r="528" spans="40:56" ht="12" customHeight="1">
      <c r="AN528" t="str">
        <f t="shared" si="16"/>
        <v>4112645NULL</v>
      </c>
      <c r="AO528" t="str">
        <f t="shared" si="17"/>
        <v>4112645NULL</v>
      </c>
      <c r="AP528" s="1758" t="s">
        <v>774</v>
      </c>
      <c r="AQ528" s="1759">
        <v>4112645</v>
      </c>
      <c r="AR528" s="1758" t="s">
        <v>775</v>
      </c>
      <c r="AS528" s="1758">
        <v>17500</v>
      </c>
      <c r="AT528" s="1760">
        <v>17500</v>
      </c>
      <c r="AU528" s="1758" t="s">
        <v>775</v>
      </c>
      <c r="AV528" s="1758">
        <v>0</v>
      </c>
      <c r="AW528" s="1758" t="s">
        <v>775</v>
      </c>
      <c r="AX528" s="1758" t="s">
        <v>775</v>
      </c>
      <c r="AY528" s="1758" t="s">
        <v>775</v>
      </c>
      <c r="AZ528" s="1758" t="s">
        <v>775</v>
      </c>
      <c r="BA528" s="1758" t="s">
        <v>775</v>
      </c>
      <c r="BB528" s="1758" t="s">
        <v>775</v>
      </c>
      <c r="BC528" t="s">
        <v>775</v>
      </c>
      <c r="BD528" t="s">
        <v>775</v>
      </c>
    </row>
    <row r="529" spans="40:56" ht="12" customHeight="1">
      <c r="AN529" t="str">
        <f t="shared" si="16"/>
        <v>4112603NULL</v>
      </c>
      <c r="AO529" t="str">
        <f t="shared" si="17"/>
        <v>4112603NULL</v>
      </c>
      <c r="AP529" s="1758" t="s">
        <v>774</v>
      </c>
      <c r="AQ529" s="1759">
        <v>4112603</v>
      </c>
      <c r="AR529" s="1758" t="s">
        <v>775</v>
      </c>
      <c r="AS529" s="1758">
        <v>10100</v>
      </c>
      <c r="AT529" s="1760">
        <v>10100</v>
      </c>
      <c r="AU529" s="1758" t="s">
        <v>775</v>
      </c>
      <c r="AV529" s="1758">
        <v>0</v>
      </c>
      <c r="AW529" s="1758" t="s">
        <v>775</v>
      </c>
      <c r="AX529" s="1758" t="s">
        <v>775</v>
      </c>
      <c r="AY529" s="1758" t="s">
        <v>775</v>
      </c>
      <c r="AZ529" s="1758" t="s">
        <v>775</v>
      </c>
      <c r="BA529" s="1758" t="s">
        <v>775</v>
      </c>
      <c r="BB529" s="1758" t="s">
        <v>775</v>
      </c>
      <c r="BC529" t="s">
        <v>775</v>
      </c>
      <c r="BD529" t="s">
        <v>775</v>
      </c>
    </row>
    <row r="530" spans="40:56" ht="12" customHeight="1">
      <c r="AN530" t="str">
        <f t="shared" si="16"/>
        <v>4112553NULL</v>
      </c>
      <c r="AO530" t="str">
        <f t="shared" si="17"/>
        <v>4112553NULL</v>
      </c>
      <c r="AP530" s="1758" t="s">
        <v>774</v>
      </c>
      <c r="AQ530" s="1759">
        <v>4112553</v>
      </c>
      <c r="AR530" s="1758" t="s">
        <v>775</v>
      </c>
      <c r="AS530" s="1758">
        <v>10500</v>
      </c>
      <c r="AT530" s="1760">
        <v>10500</v>
      </c>
      <c r="AU530" s="1758" t="s">
        <v>775</v>
      </c>
      <c r="AV530" s="1758">
        <v>0</v>
      </c>
      <c r="AW530" s="1758" t="s">
        <v>775</v>
      </c>
      <c r="AX530" s="1758" t="s">
        <v>775</v>
      </c>
      <c r="AY530" s="1758" t="s">
        <v>775</v>
      </c>
      <c r="AZ530" s="1758" t="s">
        <v>775</v>
      </c>
      <c r="BA530" s="1758" t="s">
        <v>775</v>
      </c>
      <c r="BB530" s="1758" t="s">
        <v>775</v>
      </c>
      <c r="BC530" t="s">
        <v>775</v>
      </c>
      <c r="BD530" t="s">
        <v>775</v>
      </c>
    </row>
    <row r="531" spans="40:56" ht="12" customHeight="1">
      <c r="AN531" t="str">
        <f t="shared" si="16"/>
        <v>41125041043234180</v>
      </c>
      <c r="AO531" t="str">
        <f t="shared" si="17"/>
        <v>4112504NULL</v>
      </c>
      <c r="AP531" s="1758" t="s">
        <v>774</v>
      </c>
      <c r="AQ531" s="1759">
        <v>4112504</v>
      </c>
      <c r="AR531" s="1758" t="s">
        <v>775</v>
      </c>
      <c r="AS531" s="1758">
        <v>24100</v>
      </c>
      <c r="AT531" s="1760">
        <v>24100</v>
      </c>
      <c r="AU531" s="1758">
        <v>1043234180</v>
      </c>
      <c r="AV531" s="1758">
        <v>1043234180</v>
      </c>
      <c r="AW531" s="1758" t="s">
        <v>775</v>
      </c>
      <c r="AX531" s="1758" t="s">
        <v>775</v>
      </c>
      <c r="AY531" s="1758" t="s">
        <v>775</v>
      </c>
      <c r="AZ531" s="1758" t="s">
        <v>775</v>
      </c>
      <c r="BA531" s="1758" t="s">
        <v>775</v>
      </c>
      <c r="BB531" s="1758" t="s">
        <v>775</v>
      </c>
      <c r="BC531" t="s">
        <v>775</v>
      </c>
      <c r="BD531" t="s">
        <v>775</v>
      </c>
    </row>
    <row r="532" spans="40:56" ht="12" customHeight="1">
      <c r="AN532" t="str">
        <f t="shared" si="16"/>
        <v>4112470NULL</v>
      </c>
      <c r="AO532" t="str">
        <f t="shared" si="17"/>
        <v>4112470NULL</v>
      </c>
      <c r="AP532" s="1758" t="s">
        <v>774</v>
      </c>
      <c r="AQ532" s="1759">
        <v>4112470</v>
      </c>
      <c r="AR532" s="1758" t="s">
        <v>775</v>
      </c>
      <c r="AS532" s="1758">
        <v>14400</v>
      </c>
      <c r="AT532" s="1760">
        <v>14400</v>
      </c>
      <c r="AU532" s="1758" t="s">
        <v>775</v>
      </c>
      <c r="AV532" s="1758">
        <v>0</v>
      </c>
      <c r="AW532" s="1758" t="s">
        <v>775</v>
      </c>
      <c r="AX532" s="1758" t="s">
        <v>775</v>
      </c>
      <c r="AY532" s="1758" t="s">
        <v>775</v>
      </c>
      <c r="AZ532" s="1758" t="s">
        <v>775</v>
      </c>
      <c r="BA532" s="1758" t="s">
        <v>775</v>
      </c>
      <c r="BB532" s="1758" t="s">
        <v>775</v>
      </c>
      <c r="BC532" t="s">
        <v>775</v>
      </c>
      <c r="BD532" t="s">
        <v>775</v>
      </c>
    </row>
    <row r="533" spans="40:56" ht="12" customHeight="1">
      <c r="AN533" t="str">
        <f t="shared" si="16"/>
        <v>4111944NULL</v>
      </c>
      <c r="AO533" t="str">
        <f t="shared" si="17"/>
        <v>4111944NULL</v>
      </c>
      <c r="AP533" s="1758" t="s">
        <v>774</v>
      </c>
      <c r="AQ533" s="1759">
        <v>4111944</v>
      </c>
      <c r="AR533" s="1758" t="s">
        <v>775</v>
      </c>
      <c r="AS533" s="1758">
        <v>24800</v>
      </c>
      <c r="AT533" s="1760">
        <v>24800</v>
      </c>
      <c r="AU533" s="1758" t="s">
        <v>775</v>
      </c>
      <c r="AV533" s="1758">
        <v>0</v>
      </c>
      <c r="AW533" s="1758" t="s">
        <v>775</v>
      </c>
      <c r="AX533" s="1758" t="s">
        <v>775</v>
      </c>
      <c r="AY533" s="1758" t="s">
        <v>775</v>
      </c>
      <c r="AZ533" s="1758" t="s">
        <v>775</v>
      </c>
      <c r="BA533" s="1758" t="s">
        <v>775</v>
      </c>
      <c r="BB533" s="1758" t="s">
        <v>775</v>
      </c>
      <c r="BC533" t="s">
        <v>775</v>
      </c>
      <c r="BD533" t="s">
        <v>775</v>
      </c>
    </row>
    <row r="534" spans="40:56" ht="12" customHeight="1">
      <c r="AN534" t="str">
        <f t="shared" si="16"/>
        <v>4112421NULL</v>
      </c>
      <c r="AO534" t="str">
        <f t="shared" si="17"/>
        <v>4112421NULL</v>
      </c>
      <c r="AP534" s="1758" t="s">
        <v>774</v>
      </c>
      <c r="AQ534" s="1759">
        <v>4112421</v>
      </c>
      <c r="AR534" s="1758" t="s">
        <v>775</v>
      </c>
      <c r="AS534" s="1758">
        <v>13100</v>
      </c>
      <c r="AT534" s="1760">
        <v>13100</v>
      </c>
      <c r="AU534" s="1758" t="s">
        <v>775</v>
      </c>
      <c r="AV534" s="1758">
        <v>0</v>
      </c>
      <c r="AW534" s="1758" t="s">
        <v>775</v>
      </c>
      <c r="AX534" s="1758" t="s">
        <v>775</v>
      </c>
      <c r="AY534" s="1758" t="s">
        <v>775</v>
      </c>
      <c r="AZ534" s="1758" t="s">
        <v>775</v>
      </c>
      <c r="BA534" s="1758" t="s">
        <v>775</v>
      </c>
      <c r="BB534" s="1758" t="s">
        <v>775</v>
      </c>
      <c r="BC534" t="s">
        <v>775</v>
      </c>
      <c r="BD534" t="s">
        <v>775</v>
      </c>
    </row>
    <row r="535" spans="40:56" ht="12" customHeight="1">
      <c r="AN535" t="str">
        <f t="shared" si="16"/>
        <v>4111928NULL</v>
      </c>
      <c r="AO535" t="str">
        <f t="shared" si="17"/>
        <v>4111928NULL</v>
      </c>
      <c r="AP535" s="1758" t="s">
        <v>774</v>
      </c>
      <c r="AQ535" s="1759">
        <v>4111928</v>
      </c>
      <c r="AR535" s="1758" t="s">
        <v>775</v>
      </c>
      <c r="AS535" s="1758">
        <v>9500</v>
      </c>
      <c r="AT535" s="1760">
        <v>9500</v>
      </c>
      <c r="AU535" s="1758" t="s">
        <v>775</v>
      </c>
      <c r="AV535" s="1758">
        <v>0</v>
      </c>
      <c r="AW535" s="1758" t="s">
        <v>775</v>
      </c>
      <c r="AX535" s="1758" t="s">
        <v>775</v>
      </c>
      <c r="AY535" s="1758" t="s">
        <v>775</v>
      </c>
      <c r="AZ535" s="1758" t="s">
        <v>775</v>
      </c>
      <c r="BA535" s="1758" t="s">
        <v>775</v>
      </c>
      <c r="BB535" s="1758" t="s">
        <v>775</v>
      </c>
      <c r="BC535" t="s">
        <v>775</v>
      </c>
      <c r="BD535" t="s">
        <v>775</v>
      </c>
    </row>
    <row r="536" spans="40:56" ht="12" customHeight="1">
      <c r="AN536" t="str">
        <f t="shared" si="16"/>
        <v>4112389NULL</v>
      </c>
      <c r="AO536" t="str">
        <f t="shared" si="17"/>
        <v>4112389NULL</v>
      </c>
      <c r="AP536" s="1758" t="s">
        <v>774</v>
      </c>
      <c r="AQ536" s="1759">
        <v>4112389</v>
      </c>
      <c r="AR536" s="1758" t="s">
        <v>775</v>
      </c>
      <c r="AS536" s="1758">
        <v>24800</v>
      </c>
      <c r="AT536" s="1760">
        <v>24800</v>
      </c>
      <c r="AU536" s="1758" t="s">
        <v>775</v>
      </c>
      <c r="AV536" s="1758">
        <v>0</v>
      </c>
      <c r="AW536" s="1758" t="s">
        <v>775</v>
      </c>
      <c r="AX536" s="1758" t="s">
        <v>775</v>
      </c>
      <c r="AY536" s="1758" t="s">
        <v>775</v>
      </c>
      <c r="AZ536" s="1758" t="s">
        <v>775</v>
      </c>
      <c r="BA536" s="1758" t="s">
        <v>775</v>
      </c>
      <c r="BB536" s="1758" t="s">
        <v>775</v>
      </c>
      <c r="BC536" t="s">
        <v>775</v>
      </c>
      <c r="BD536" t="s">
        <v>775</v>
      </c>
    </row>
    <row r="537" spans="40:56" ht="12" customHeight="1">
      <c r="AN537" t="str">
        <f t="shared" si="16"/>
        <v>4112371NULL</v>
      </c>
      <c r="AO537" t="str">
        <f t="shared" si="17"/>
        <v>4112371NULL</v>
      </c>
      <c r="AP537" s="1758" t="s">
        <v>774</v>
      </c>
      <c r="AQ537" s="1759">
        <v>4112371</v>
      </c>
      <c r="AR537" s="1758" t="s">
        <v>775</v>
      </c>
      <c r="AS537" s="1758">
        <v>26500</v>
      </c>
      <c r="AT537" s="1759">
        <v>26500</v>
      </c>
      <c r="AU537" s="1758" t="s">
        <v>775</v>
      </c>
      <c r="AV537" s="1758">
        <v>0</v>
      </c>
      <c r="AW537" s="1758" t="s">
        <v>775</v>
      </c>
      <c r="AX537" s="1758" t="s">
        <v>775</v>
      </c>
      <c r="AY537" s="1758" t="s">
        <v>775</v>
      </c>
      <c r="AZ537" s="1758" t="s">
        <v>775</v>
      </c>
      <c r="BA537" s="1758" t="s">
        <v>775</v>
      </c>
      <c r="BB537" s="1758" t="s">
        <v>775</v>
      </c>
      <c r="BC537" t="s">
        <v>775</v>
      </c>
      <c r="BD537" t="s">
        <v>775</v>
      </c>
    </row>
    <row r="538" spans="40:56" ht="12" customHeight="1">
      <c r="AN538" t="str">
        <f t="shared" si="16"/>
        <v>4112769NULL</v>
      </c>
      <c r="AO538" t="str">
        <f t="shared" si="17"/>
        <v>4112769NULL</v>
      </c>
      <c r="AP538" s="1758" t="s">
        <v>774</v>
      </c>
      <c r="AQ538" s="1759">
        <v>4112769</v>
      </c>
      <c r="AR538" s="1758" t="s">
        <v>775</v>
      </c>
      <c r="AS538" s="1758">
        <v>14800</v>
      </c>
      <c r="AT538" s="1760">
        <v>14800</v>
      </c>
      <c r="AU538" s="1758" t="s">
        <v>775</v>
      </c>
      <c r="AV538" s="1758">
        <v>0</v>
      </c>
      <c r="AW538" s="1758" t="s">
        <v>775</v>
      </c>
      <c r="AX538" s="1758" t="s">
        <v>775</v>
      </c>
      <c r="AY538" s="1758" t="s">
        <v>775</v>
      </c>
      <c r="AZ538" s="1758" t="s">
        <v>775</v>
      </c>
      <c r="BA538" s="1758" t="s">
        <v>775</v>
      </c>
      <c r="BB538" s="1758" t="s">
        <v>775</v>
      </c>
      <c r="BC538" t="s">
        <v>775</v>
      </c>
      <c r="BD538" t="s">
        <v>775</v>
      </c>
    </row>
    <row r="539" spans="40:56" ht="12" customHeight="1">
      <c r="AN539" t="str">
        <f t="shared" si="16"/>
        <v>4112710NULL</v>
      </c>
      <c r="AO539" t="str">
        <f t="shared" si="17"/>
        <v>4112710NULL</v>
      </c>
      <c r="AP539" s="1758" t="s">
        <v>774</v>
      </c>
      <c r="AQ539" s="1759">
        <v>4112710</v>
      </c>
      <c r="AR539" s="1758" t="s">
        <v>775</v>
      </c>
      <c r="AS539" s="1758">
        <v>26060</v>
      </c>
      <c r="AT539" s="1760">
        <v>26060</v>
      </c>
      <c r="AU539" s="1758" t="s">
        <v>775</v>
      </c>
      <c r="AV539" s="1758">
        <v>0</v>
      </c>
      <c r="AW539" s="1758" t="s">
        <v>775</v>
      </c>
      <c r="AX539" s="1758" t="s">
        <v>775</v>
      </c>
      <c r="AY539" s="1758" t="s">
        <v>775</v>
      </c>
      <c r="AZ539" s="1758" t="s">
        <v>775</v>
      </c>
      <c r="BA539" s="1758" t="s">
        <v>775</v>
      </c>
      <c r="BB539" s="1758" t="s">
        <v>775</v>
      </c>
      <c r="BC539" t="s">
        <v>775</v>
      </c>
      <c r="BD539" t="s">
        <v>775</v>
      </c>
    </row>
    <row r="540" spans="40:56" ht="12" customHeight="1">
      <c r="AN540" t="str">
        <f t="shared" si="16"/>
        <v>4112967NULL</v>
      </c>
      <c r="AO540" t="str">
        <f t="shared" si="17"/>
        <v>4112967NULL</v>
      </c>
      <c r="AP540" s="1758" t="s">
        <v>774</v>
      </c>
      <c r="AQ540" s="1759">
        <v>4112967</v>
      </c>
      <c r="AR540" s="1758" t="s">
        <v>775</v>
      </c>
      <c r="AS540" s="1758">
        <v>17000</v>
      </c>
      <c r="AT540" s="1760">
        <v>17000</v>
      </c>
      <c r="AU540" s="1758" t="s">
        <v>775</v>
      </c>
      <c r="AV540" s="1758">
        <v>0</v>
      </c>
      <c r="AW540" s="1758" t="s">
        <v>775</v>
      </c>
      <c r="AX540" s="1758" t="s">
        <v>775</v>
      </c>
      <c r="AY540" s="1758" t="s">
        <v>775</v>
      </c>
      <c r="AZ540" s="1758" t="s">
        <v>775</v>
      </c>
      <c r="BA540" s="1758" t="s">
        <v>775</v>
      </c>
      <c r="BB540" s="1758" t="s">
        <v>775</v>
      </c>
      <c r="BC540" t="s">
        <v>775</v>
      </c>
      <c r="BD540" t="s">
        <v>775</v>
      </c>
    </row>
    <row r="541" spans="40:56" ht="12" customHeight="1">
      <c r="AN541" t="str">
        <f t="shared" si="16"/>
        <v>41833071659317196</v>
      </c>
      <c r="AO541" t="str">
        <f t="shared" si="17"/>
        <v>4183307101556300</v>
      </c>
      <c r="AP541" s="1758" t="s">
        <v>774</v>
      </c>
      <c r="AQ541" s="1759">
        <v>4183307</v>
      </c>
      <c r="AR541" s="1758" t="s">
        <v>775</v>
      </c>
      <c r="AS541" s="1758">
        <v>31570</v>
      </c>
      <c r="AT541" s="1760">
        <v>31570</v>
      </c>
      <c r="AU541" s="1758">
        <v>1659317196</v>
      </c>
      <c r="AV541" s="1758">
        <v>1659317196</v>
      </c>
      <c r="AW541" s="1758">
        <v>101556300</v>
      </c>
      <c r="AX541" s="1758" t="s">
        <v>775</v>
      </c>
      <c r="AY541" s="1758" t="s">
        <v>775</v>
      </c>
      <c r="AZ541" s="1758" t="s">
        <v>775</v>
      </c>
      <c r="BA541" s="1758" t="s">
        <v>775</v>
      </c>
      <c r="BB541" s="1758" t="s">
        <v>775</v>
      </c>
      <c r="BC541" t="s">
        <v>775</v>
      </c>
      <c r="BD541" t="s">
        <v>775</v>
      </c>
    </row>
    <row r="542" spans="40:56" ht="12" customHeight="1">
      <c r="AN542" t="str">
        <f t="shared" si="16"/>
        <v>4112439NULL</v>
      </c>
      <c r="AO542" t="str">
        <f t="shared" si="17"/>
        <v>4112439NULL</v>
      </c>
      <c r="AP542" s="1758" t="s">
        <v>774</v>
      </c>
      <c r="AQ542" s="1759">
        <v>4112439</v>
      </c>
      <c r="AR542" s="1758" t="s">
        <v>775</v>
      </c>
      <c r="AS542" s="1758">
        <v>5600</v>
      </c>
      <c r="AT542" s="1760">
        <v>5600</v>
      </c>
      <c r="AU542" s="1758" t="s">
        <v>775</v>
      </c>
      <c r="AV542" s="1758">
        <v>0</v>
      </c>
      <c r="AW542" s="1758" t="s">
        <v>775</v>
      </c>
      <c r="AX542" s="1758" t="s">
        <v>775</v>
      </c>
      <c r="AY542" s="1758" t="s">
        <v>775</v>
      </c>
      <c r="AZ542" s="1758" t="s">
        <v>775</v>
      </c>
      <c r="BA542" s="1758" t="s">
        <v>775</v>
      </c>
      <c r="BB542" s="1758" t="s">
        <v>775</v>
      </c>
      <c r="BC542" t="s">
        <v>775</v>
      </c>
      <c r="BD542" t="s">
        <v>775</v>
      </c>
    </row>
    <row r="543" spans="40:56" ht="12" customHeight="1">
      <c r="AN543" t="str">
        <f t="shared" si="16"/>
        <v>4111852NULL</v>
      </c>
      <c r="AO543" t="str">
        <f t="shared" si="17"/>
        <v>4111852NULL</v>
      </c>
      <c r="AP543" s="1758" t="s">
        <v>774</v>
      </c>
      <c r="AQ543" s="1759">
        <v>4111852</v>
      </c>
      <c r="AR543" s="1758" t="s">
        <v>775</v>
      </c>
      <c r="AS543" s="1758">
        <v>8800</v>
      </c>
      <c r="AT543" s="1760">
        <v>8800</v>
      </c>
      <c r="AU543" s="1758" t="s">
        <v>775</v>
      </c>
      <c r="AV543" s="1758">
        <v>0</v>
      </c>
      <c r="AW543" s="1758" t="s">
        <v>775</v>
      </c>
      <c r="AX543" s="1758" t="s">
        <v>775</v>
      </c>
      <c r="AY543" s="1758" t="s">
        <v>775</v>
      </c>
      <c r="AZ543" s="1758" t="s">
        <v>775</v>
      </c>
      <c r="BA543" s="1758" t="s">
        <v>775</v>
      </c>
      <c r="BB543" s="1758" t="s">
        <v>775</v>
      </c>
      <c r="BC543" t="s">
        <v>775</v>
      </c>
      <c r="BD543" t="s">
        <v>775</v>
      </c>
    </row>
    <row r="544" spans="40:56" ht="12" customHeight="1">
      <c r="AN544" t="str">
        <f t="shared" si="16"/>
        <v>4112330NULL</v>
      </c>
      <c r="AO544" t="str">
        <f t="shared" si="17"/>
        <v>4112330NULL</v>
      </c>
      <c r="AP544" s="1758" t="s">
        <v>774</v>
      </c>
      <c r="AQ544" s="1759">
        <v>4112330</v>
      </c>
      <c r="AR544" s="1758" t="s">
        <v>775</v>
      </c>
      <c r="AS544" s="1758">
        <v>40620</v>
      </c>
      <c r="AT544" s="1760">
        <v>40620</v>
      </c>
      <c r="AU544" s="1758" t="s">
        <v>775</v>
      </c>
      <c r="AV544" s="1758">
        <v>0</v>
      </c>
      <c r="AW544" s="1758" t="s">
        <v>775</v>
      </c>
      <c r="AX544" s="1758" t="s">
        <v>775</v>
      </c>
      <c r="AY544" s="1758" t="s">
        <v>775</v>
      </c>
      <c r="AZ544" s="1758" t="s">
        <v>775</v>
      </c>
      <c r="BA544" s="1758" t="s">
        <v>775</v>
      </c>
      <c r="BB544" s="1758" t="s">
        <v>775</v>
      </c>
      <c r="BC544" t="s">
        <v>775</v>
      </c>
      <c r="BD544" t="s">
        <v>775</v>
      </c>
    </row>
    <row r="545" spans="40:56" ht="12" customHeight="1">
      <c r="AN545" t="str">
        <f t="shared" si="16"/>
        <v>41119101386699932</v>
      </c>
      <c r="AO545" t="str">
        <f t="shared" si="17"/>
        <v>4111910NULL</v>
      </c>
      <c r="AP545" s="1758" t="s">
        <v>774</v>
      </c>
      <c r="AQ545" s="1759">
        <v>4111910</v>
      </c>
      <c r="AR545" s="1758" t="s">
        <v>775</v>
      </c>
      <c r="AS545" s="1758">
        <v>11100</v>
      </c>
      <c r="AT545" s="1760">
        <v>11100</v>
      </c>
      <c r="AU545" s="1758">
        <v>1386699932</v>
      </c>
      <c r="AV545" s="1758">
        <v>1386699932</v>
      </c>
      <c r="AW545" s="1758" t="s">
        <v>775</v>
      </c>
      <c r="AX545" s="1758" t="s">
        <v>775</v>
      </c>
      <c r="AY545" s="1758" t="s">
        <v>775</v>
      </c>
      <c r="AZ545" s="1758" t="s">
        <v>775</v>
      </c>
      <c r="BA545" s="1758" t="s">
        <v>775</v>
      </c>
      <c r="BB545" s="1758" t="s">
        <v>775</v>
      </c>
      <c r="BC545" t="s">
        <v>775</v>
      </c>
      <c r="BD545" t="s">
        <v>775</v>
      </c>
    </row>
    <row r="546" spans="40:56" ht="12" customHeight="1">
      <c r="AN546" t="str">
        <f t="shared" si="16"/>
        <v>4112132NULL</v>
      </c>
      <c r="AO546" t="str">
        <f t="shared" si="17"/>
        <v>4112132NULL</v>
      </c>
      <c r="AP546" s="1758" t="s">
        <v>774</v>
      </c>
      <c r="AQ546" s="1759">
        <v>4112132</v>
      </c>
      <c r="AR546" s="1758" t="s">
        <v>775</v>
      </c>
      <c r="AS546" s="1758">
        <v>40560</v>
      </c>
      <c r="AT546" s="1760">
        <v>40560</v>
      </c>
      <c r="AU546" s="1758" t="s">
        <v>775</v>
      </c>
      <c r="AV546" s="1758">
        <v>0</v>
      </c>
      <c r="AW546" s="1758" t="s">
        <v>775</v>
      </c>
      <c r="AX546" s="1758" t="s">
        <v>775</v>
      </c>
      <c r="AY546" s="1758" t="s">
        <v>775</v>
      </c>
      <c r="AZ546" s="1758" t="s">
        <v>775</v>
      </c>
      <c r="BA546" s="1758" t="s">
        <v>775</v>
      </c>
      <c r="BB546" s="1758" t="s">
        <v>775</v>
      </c>
      <c r="BC546" t="s">
        <v>775</v>
      </c>
      <c r="BD546" t="s">
        <v>775</v>
      </c>
    </row>
    <row r="547" spans="40:56" ht="12" customHeight="1">
      <c r="AN547" t="str">
        <f t="shared" si="16"/>
        <v>4111886NULL</v>
      </c>
      <c r="AO547" t="str">
        <f t="shared" si="17"/>
        <v>4111886NULL</v>
      </c>
      <c r="AP547" s="1758" t="s">
        <v>774</v>
      </c>
      <c r="AQ547" s="1759">
        <v>4111886</v>
      </c>
      <c r="AR547" s="1758" t="s">
        <v>775</v>
      </c>
      <c r="AS547" s="1758">
        <v>18800</v>
      </c>
      <c r="AT547" s="1760">
        <v>18800</v>
      </c>
      <c r="AU547" s="1758" t="s">
        <v>775</v>
      </c>
      <c r="AV547" s="1758">
        <v>0</v>
      </c>
      <c r="AW547" s="1758" t="s">
        <v>775</v>
      </c>
      <c r="AX547" s="1758" t="s">
        <v>775</v>
      </c>
      <c r="AY547" s="1758" t="s">
        <v>775</v>
      </c>
      <c r="AZ547" s="1758" t="s">
        <v>775</v>
      </c>
      <c r="BA547" s="1758" t="s">
        <v>775</v>
      </c>
      <c r="BB547" s="1758" t="s">
        <v>775</v>
      </c>
      <c r="BC547" t="s">
        <v>775</v>
      </c>
      <c r="BD547" t="s">
        <v>775</v>
      </c>
    </row>
    <row r="548" spans="40:56" ht="12" customHeight="1">
      <c r="AN548" t="str">
        <f t="shared" si="16"/>
        <v>4110771NULL</v>
      </c>
      <c r="AO548" t="str">
        <f t="shared" si="17"/>
        <v>4110771NULL</v>
      </c>
      <c r="AP548" s="1758" t="s">
        <v>774</v>
      </c>
      <c r="AQ548" s="1759">
        <v>4110771</v>
      </c>
      <c r="AR548" s="1758" t="s">
        <v>775</v>
      </c>
      <c r="AS548" s="1758">
        <v>12000</v>
      </c>
      <c r="AT548" s="1760">
        <v>12000</v>
      </c>
      <c r="AU548" s="1758" t="s">
        <v>775</v>
      </c>
      <c r="AV548" s="1758">
        <v>0</v>
      </c>
      <c r="AW548" s="1758" t="s">
        <v>775</v>
      </c>
      <c r="AX548" s="1758" t="s">
        <v>775</v>
      </c>
      <c r="AY548" s="1758" t="s">
        <v>775</v>
      </c>
      <c r="AZ548" s="1758" t="s">
        <v>775</v>
      </c>
      <c r="BA548" s="1758" t="s">
        <v>775</v>
      </c>
      <c r="BB548" s="1758" t="s">
        <v>775</v>
      </c>
      <c r="BC548" t="s">
        <v>775</v>
      </c>
      <c r="BD548" t="s">
        <v>775</v>
      </c>
    </row>
    <row r="549" spans="40:56" ht="12" customHeight="1">
      <c r="AN549" t="str">
        <f t="shared" si="16"/>
        <v>4112838NULL</v>
      </c>
      <c r="AO549" t="str">
        <f t="shared" si="17"/>
        <v>4112838NULL</v>
      </c>
      <c r="AP549" s="1758" t="s">
        <v>774</v>
      </c>
      <c r="AQ549" s="1759">
        <v>4112838</v>
      </c>
      <c r="AR549" s="1758" t="s">
        <v>775</v>
      </c>
      <c r="AS549" s="1758" t="s">
        <v>775</v>
      </c>
      <c r="AT549" s="1760">
        <v>0</v>
      </c>
      <c r="AU549" s="1758" t="s">
        <v>775</v>
      </c>
      <c r="AV549" s="1758">
        <v>0</v>
      </c>
      <c r="AW549" s="1758" t="s">
        <v>775</v>
      </c>
      <c r="AX549" s="1758" t="s">
        <v>775</v>
      </c>
      <c r="AY549" s="1758" t="s">
        <v>775</v>
      </c>
      <c r="AZ549" s="1758" t="s">
        <v>775</v>
      </c>
      <c r="BA549" s="1758" t="s">
        <v>775</v>
      </c>
      <c r="BB549" s="1758" t="s">
        <v>775</v>
      </c>
      <c r="BC549" t="s">
        <v>775</v>
      </c>
      <c r="BD549" t="s">
        <v>775</v>
      </c>
    </row>
    <row r="550" spans="40:56" ht="12" customHeight="1">
      <c r="AN550" t="str">
        <f t="shared" si="16"/>
        <v>4112686NULL</v>
      </c>
      <c r="AO550" t="str">
        <f t="shared" si="17"/>
        <v>4112686NULL</v>
      </c>
      <c r="AP550" s="1758" t="s">
        <v>774</v>
      </c>
      <c r="AQ550" s="1759">
        <v>4112686</v>
      </c>
      <c r="AR550" s="1758" t="s">
        <v>775</v>
      </c>
      <c r="AS550" s="1758">
        <v>40590</v>
      </c>
      <c r="AT550" s="1760">
        <v>40590</v>
      </c>
      <c r="AU550" s="1758" t="s">
        <v>775</v>
      </c>
      <c r="AV550" s="1758">
        <v>0</v>
      </c>
      <c r="AW550" s="1758" t="s">
        <v>775</v>
      </c>
      <c r="AX550" s="1758" t="s">
        <v>775</v>
      </c>
      <c r="AY550" s="1758" t="s">
        <v>775</v>
      </c>
      <c r="AZ550" s="1758" t="s">
        <v>775</v>
      </c>
      <c r="BA550" s="1758" t="s">
        <v>775</v>
      </c>
      <c r="BB550" s="1758" t="s">
        <v>775</v>
      </c>
      <c r="BC550" t="s">
        <v>775</v>
      </c>
      <c r="BD550" t="s">
        <v>775</v>
      </c>
    </row>
    <row r="551" spans="40:56" ht="12" customHeight="1">
      <c r="AN551" t="str">
        <f t="shared" si="16"/>
        <v>4112868NULL</v>
      </c>
      <c r="AO551" t="str">
        <f t="shared" si="17"/>
        <v>4112868NULL</v>
      </c>
      <c r="AP551" s="1758" t="s">
        <v>774</v>
      </c>
      <c r="AQ551" s="1759">
        <v>4112868</v>
      </c>
      <c r="AR551" s="1758" t="s">
        <v>775</v>
      </c>
      <c r="AS551" s="1758" t="s">
        <v>775</v>
      </c>
      <c r="AT551" s="1760">
        <v>0</v>
      </c>
      <c r="AU551" s="1758" t="s">
        <v>775</v>
      </c>
      <c r="AV551" s="1758">
        <v>0</v>
      </c>
      <c r="AW551" s="1758" t="s">
        <v>775</v>
      </c>
      <c r="AX551" s="1758" t="s">
        <v>775</v>
      </c>
      <c r="AY551" s="1758" t="s">
        <v>775</v>
      </c>
      <c r="AZ551" s="1758" t="s">
        <v>775</v>
      </c>
      <c r="BA551" s="1758" t="s">
        <v>775</v>
      </c>
      <c r="BB551" s="1758" t="s">
        <v>775</v>
      </c>
      <c r="BC551" t="s">
        <v>775</v>
      </c>
      <c r="BD551" t="s">
        <v>775</v>
      </c>
    </row>
    <row r="552" spans="40:56" ht="12" customHeight="1">
      <c r="AN552" t="str">
        <f t="shared" si="16"/>
        <v>4112728NULL</v>
      </c>
      <c r="AO552" t="str">
        <f t="shared" si="17"/>
        <v>4112728NULL</v>
      </c>
      <c r="AP552" s="1758" t="s">
        <v>774</v>
      </c>
      <c r="AQ552" s="1759">
        <v>4112728</v>
      </c>
      <c r="AR552" s="1758" t="s">
        <v>775</v>
      </c>
      <c r="AS552" s="1758">
        <v>5500</v>
      </c>
      <c r="AT552" s="1760">
        <v>5500</v>
      </c>
      <c r="AU552" s="1758" t="s">
        <v>775</v>
      </c>
      <c r="AV552" s="1758">
        <v>0</v>
      </c>
      <c r="AW552" s="1758" t="s">
        <v>775</v>
      </c>
      <c r="AX552" s="1758" t="s">
        <v>775</v>
      </c>
      <c r="AY552" s="1758" t="s">
        <v>775</v>
      </c>
      <c r="AZ552" s="1758" t="s">
        <v>775</v>
      </c>
      <c r="BA552" s="1758" t="s">
        <v>775</v>
      </c>
      <c r="BB552" s="1758" t="s">
        <v>775</v>
      </c>
      <c r="BC552" t="s">
        <v>775</v>
      </c>
      <c r="BD552" t="s">
        <v>775</v>
      </c>
    </row>
    <row r="553" spans="40:56" ht="12" customHeight="1">
      <c r="AN553" t="str">
        <f t="shared" si="16"/>
        <v>4112876NULL</v>
      </c>
      <c r="AO553" t="str">
        <f t="shared" si="17"/>
        <v>4112876NULL</v>
      </c>
      <c r="AP553" s="1758" t="s">
        <v>774</v>
      </c>
      <c r="AQ553" s="1759">
        <v>4112876</v>
      </c>
      <c r="AR553" s="1758" t="s">
        <v>775</v>
      </c>
      <c r="AS553" s="1758">
        <v>40700</v>
      </c>
      <c r="AT553" s="1760">
        <v>40700</v>
      </c>
      <c r="AU553" s="1758" t="s">
        <v>775</v>
      </c>
      <c r="AV553" s="1758">
        <v>0</v>
      </c>
      <c r="AW553" s="1758" t="s">
        <v>775</v>
      </c>
      <c r="AX553" s="1758" t="s">
        <v>775</v>
      </c>
      <c r="AY553" s="1758" t="s">
        <v>775</v>
      </c>
      <c r="AZ553" s="1758" t="s">
        <v>775</v>
      </c>
      <c r="BA553" s="1758" t="s">
        <v>775</v>
      </c>
      <c r="BB553" s="1758" t="s">
        <v>775</v>
      </c>
      <c r="BC553" t="s">
        <v>775</v>
      </c>
      <c r="BD553" t="s">
        <v>775</v>
      </c>
    </row>
    <row r="554" spans="40:56" ht="12" customHeight="1">
      <c r="AN554" t="str">
        <f t="shared" si="16"/>
        <v>4112892NULL</v>
      </c>
      <c r="AO554" t="str">
        <f t="shared" si="17"/>
        <v>4112892NULL</v>
      </c>
      <c r="AP554" s="1758" t="s">
        <v>774</v>
      </c>
      <c r="AQ554" s="1759">
        <v>4112892</v>
      </c>
      <c r="AR554" s="1758" t="s">
        <v>775</v>
      </c>
      <c r="AS554" s="1758">
        <v>40720</v>
      </c>
      <c r="AT554" s="1760">
        <v>40720</v>
      </c>
      <c r="AU554" s="1758" t="s">
        <v>775</v>
      </c>
      <c r="AV554" s="1758">
        <v>0</v>
      </c>
      <c r="AW554" s="1758" t="s">
        <v>775</v>
      </c>
      <c r="AX554" s="1758" t="s">
        <v>775</v>
      </c>
      <c r="AY554" s="1758" t="s">
        <v>775</v>
      </c>
      <c r="AZ554" s="1758" t="s">
        <v>775</v>
      </c>
      <c r="BA554" s="1758" t="s">
        <v>775</v>
      </c>
      <c r="BB554" s="1758" t="s">
        <v>775</v>
      </c>
      <c r="BC554" t="s">
        <v>775</v>
      </c>
      <c r="BD554" t="s">
        <v>775</v>
      </c>
    </row>
    <row r="555" spans="40:56" ht="12" customHeight="1">
      <c r="AN555" t="str">
        <f t="shared" si="16"/>
        <v>41118451992759120</v>
      </c>
      <c r="AO555" t="str">
        <f t="shared" si="17"/>
        <v>4111845NULL</v>
      </c>
      <c r="AP555" s="1758" t="s">
        <v>774</v>
      </c>
      <c r="AQ555" s="1759">
        <v>4111845</v>
      </c>
      <c r="AR555" s="1758" t="s">
        <v>775</v>
      </c>
      <c r="AS555" s="1758">
        <v>26010</v>
      </c>
      <c r="AT555" s="1760">
        <v>26010</v>
      </c>
      <c r="AU555" s="1758">
        <v>1992759120</v>
      </c>
      <c r="AV555" s="1758">
        <v>1992759120</v>
      </c>
      <c r="AW555" s="1758" t="s">
        <v>775</v>
      </c>
      <c r="AX555" s="1758" t="s">
        <v>775</v>
      </c>
      <c r="AY555" s="1758" t="s">
        <v>775</v>
      </c>
      <c r="AZ555" s="1758" t="s">
        <v>775</v>
      </c>
      <c r="BA555" s="1758" t="s">
        <v>775</v>
      </c>
      <c r="BB555" s="1758" t="s">
        <v>775</v>
      </c>
      <c r="BC555" t="s">
        <v>775</v>
      </c>
      <c r="BD555" t="s">
        <v>775</v>
      </c>
    </row>
    <row r="556" spans="40:56" ht="12" customHeight="1">
      <c r="AN556" t="str">
        <f t="shared" si="16"/>
        <v>4112926NULL</v>
      </c>
      <c r="AO556" t="str">
        <f t="shared" si="17"/>
        <v>4112926NULL</v>
      </c>
      <c r="AP556" s="1758" t="s">
        <v>774</v>
      </c>
      <c r="AQ556" s="1759">
        <v>4112926</v>
      </c>
      <c r="AR556" s="1758" t="s">
        <v>775</v>
      </c>
      <c r="AS556" s="1758">
        <v>2100</v>
      </c>
      <c r="AT556" s="1760">
        <v>2100</v>
      </c>
      <c r="AU556" s="1758" t="s">
        <v>775</v>
      </c>
      <c r="AV556" s="1758">
        <v>0</v>
      </c>
      <c r="AW556" s="1758" t="s">
        <v>775</v>
      </c>
      <c r="AX556" s="1758" t="s">
        <v>775</v>
      </c>
      <c r="AY556" s="1758" t="s">
        <v>775</v>
      </c>
      <c r="AZ556" s="1758" t="s">
        <v>775</v>
      </c>
      <c r="BA556" s="1758" t="s">
        <v>775</v>
      </c>
      <c r="BB556" s="1758" t="s">
        <v>775</v>
      </c>
      <c r="BC556" t="s">
        <v>775</v>
      </c>
      <c r="BD556" t="s">
        <v>775</v>
      </c>
    </row>
    <row r="557" spans="40:56" ht="12" customHeight="1">
      <c r="AN557" t="str">
        <f t="shared" si="16"/>
        <v>4112942NULL</v>
      </c>
      <c r="AO557" t="str">
        <f t="shared" si="17"/>
        <v>4112942NULL</v>
      </c>
      <c r="AP557" s="1758" t="s">
        <v>774</v>
      </c>
      <c r="AQ557" s="1759">
        <v>4112942</v>
      </c>
      <c r="AR557" s="1758" t="s">
        <v>775</v>
      </c>
      <c r="AS557" s="1758">
        <v>9000</v>
      </c>
      <c r="AT557" s="1760">
        <v>9000</v>
      </c>
      <c r="AU557" s="1758" t="s">
        <v>775</v>
      </c>
      <c r="AV557" s="1758">
        <v>0</v>
      </c>
      <c r="AW557" s="1758" t="s">
        <v>775</v>
      </c>
      <c r="AX557" s="1758" t="s">
        <v>775</v>
      </c>
      <c r="AY557" s="1758" t="s">
        <v>775</v>
      </c>
      <c r="AZ557" s="1758" t="s">
        <v>775</v>
      </c>
      <c r="BA557" s="1758" t="s">
        <v>775</v>
      </c>
      <c r="BB557" s="1758" t="s">
        <v>775</v>
      </c>
      <c r="BC557" t="s">
        <v>775</v>
      </c>
      <c r="BD557" t="s">
        <v>775</v>
      </c>
    </row>
    <row r="558" spans="40:56" ht="12" customHeight="1">
      <c r="AN558" t="str">
        <f t="shared" si="16"/>
        <v>4111837NULL</v>
      </c>
      <c r="AO558" t="str">
        <f t="shared" si="17"/>
        <v>4111837NULL</v>
      </c>
      <c r="AP558" s="1758" t="s">
        <v>774</v>
      </c>
      <c r="AQ558" s="1759">
        <v>4111837</v>
      </c>
      <c r="AR558" s="1758" t="s">
        <v>775</v>
      </c>
      <c r="AS558" s="1758">
        <v>40510</v>
      </c>
      <c r="AT558" s="1760">
        <v>40510</v>
      </c>
      <c r="AU558" s="1758" t="s">
        <v>775</v>
      </c>
      <c r="AV558" s="1758">
        <v>0</v>
      </c>
      <c r="AW558" s="1758" t="s">
        <v>775</v>
      </c>
      <c r="AX558" s="1758" t="s">
        <v>775</v>
      </c>
      <c r="AY558" s="1758" t="s">
        <v>775</v>
      </c>
      <c r="AZ558" s="1758" t="s">
        <v>775</v>
      </c>
      <c r="BA558" s="1758" t="s">
        <v>775</v>
      </c>
      <c r="BB558" s="1758" t="s">
        <v>775</v>
      </c>
      <c r="BC558" t="s">
        <v>775</v>
      </c>
      <c r="BD558" t="s">
        <v>775</v>
      </c>
    </row>
    <row r="559" spans="40:56" ht="12" customHeight="1">
      <c r="AN559" t="str">
        <f t="shared" si="16"/>
        <v>4111936NULL</v>
      </c>
      <c r="AO559" t="str">
        <f t="shared" si="17"/>
        <v>4111936NULL</v>
      </c>
      <c r="AP559" s="1758" t="s">
        <v>774</v>
      </c>
      <c r="AQ559" s="1759">
        <v>4111936</v>
      </c>
      <c r="AR559" s="1758" t="s">
        <v>775</v>
      </c>
      <c r="AS559" s="1758">
        <v>3500</v>
      </c>
      <c r="AT559" s="1760">
        <v>3500</v>
      </c>
      <c r="AU559" s="1758" t="s">
        <v>775</v>
      </c>
      <c r="AV559" s="1758">
        <v>0</v>
      </c>
      <c r="AW559" s="1758" t="s">
        <v>775</v>
      </c>
      <c r="AX559" s="1758" t="s">
        <v>775</v>
      </c>
      <c r="AY559" s="1758" t="s">
        <v>775</v>
      </c>
      <c r="AZ559" s="1758" t="s">
        <v>775</v>
      </c>
      <c r="BA559" s="1758" t="s">
        <v>775</v>
      </c>
      <c r="BB559" s="1758" t="s">
        <v>775</v>
      </c>
      <c r="BC559" t="s">
        <v>775</v>
      </c>
      <c r="BD559" t="s">
        <v>775</v>
      </c>
    </row>
    <row r="560" spans="40:56" ht="12" customHeight="1">
      <c r="AN560" t="str">
        <f t="shared" si="16"/>
        <v>4110904NULL</v>
      </c>
      <c r="AO560" t="str">
        <f t="shared" si="17"/>
        <v>4110904NULL</v>
      </c>
      <c r="AP560" s="1758" t="s">
        <v>774</v>
      </c>
      <c r="AQ560" s="1759">
        <v>4110904</v>
      </c>
      <c r="AR560" s="1758" t="s">
        <v>775</v>
      </c>
      <c r="AS560" s="1758">
        <v>21200</v>
      </c>
      <c r="AT560" s="1760">
        <v>21200</v>
      </c>
      <c r="AU560" s="1758" t="s">
        <v>775</v>
      </c>
      <c r="AV560" s="1758">
        <v>0</v>
      </c>
      <c r="AW560" s="1758" t="s">
        <v>775</v>
      </c>
      <c r="AX560" s="1758" t="s">
        <v>775</v>
      </c>
      <c r="AY560" s="1758" t="s">
        <v>775</v>
      </c>
      <c r="AZ560" s="1758" t="s">
        <v>775</v>
      </c>
      <c r="BA560" s="1758" t="s">
        <v>775</v>
      </c>
      <c r="BB560" s="1758" t="s">
        <v>775</v>
      </c>
      <c r="BC560" t="s">
        <v>775</v>
      </c>
      <c r="BD560" t="s">
        <v>775</v>
      </c>
    </row>
    <row r="561" spans="40:56" ht="12" customHeight="1">
      <c r="AN561" t="str">
        <f t="shared" si="16"/>
        <v>4186805NULL</v>
      </c>
      <c r="AO561" t="str">
        <f t="shared" si="17"/>
        <v>4186805NULL</v>
      </c>
      <c r="AP561" s="1758" t="s">
        <v>774</v>
      </c>
      <c r="AQ561" s="1759">
        <v>4186805</v>
      </c>
      <c r="AR561" s="1758" t="s">
        <v>775</v>
      </c>
      <c r="AS561" s="1758">
        <v>14700</v>
      </c>
      <c r="AT561" s="1760">
        <v>14700</v>
      </c>
      <c r="AU561" s="1758" t="s">
        <v>775</v>
      </c>
      <c r="AV561" s="1758">
        <v>0</v>
      </c>
      <c r="AW561" s="1758" t="s">
        <v>775</v>
      </c>
      <c r="AX561" s="1758" t="s">
        <v>775</v>
      </c>
      <c r="AY561" s="1758" t="s">
        <v>775</v>
      </c>
      <c r="AZ561" s="1758" t="s">
        <v>775</v>
      </c>
      <c r="BA561" s="1758" t="s">
        <v>775</v>
      </c>
      <c r="BB561" s="1758" t="s">
        <v>775</v>
      </c>
      <c r="BC561" t="s">
        <v>775</v>
      </c>
      <c r="BD561" t="s">
        <v>775</v>
      </c>
    </row>
    <row r="562" spans="40:56" ht="12" customHeight="1">
      <c r="AN562" t="str">
        <f t="shared" si="16"/>
        <v>4191409NULL</v>
      </c>
      <c r="AO562" t="str">
        <f t="shared" si="17"/>
        <v>4191409NULL</v>
      </c>
      <c r="AP562" s="1758" t="s">
        <v>774</v>
      </c>
      <c r="AQ562" s="1759">
        <v>4191409</v>
      </c>
      <c r="AR562" s="1758" t="s">
        <v>987</v>
      </c>
      <c r="AS562" s="1758">
        <v>35900</v>
      </c>
      <c r="AT562" s="1760">
        <v>35900</v>
      </c>
      <c r="AU562" s="1758" t="s">
        <v>775</v>
      </c>
      <c r="AV562" s="1758">
        <v>0</v>
      </c>
      <c r="AW562" s="1758" t="s">
        <v>775</v>
      </c>
      <c r="AX562" s="1758" t="s">
        <v>775</v>
      </c>
      <c r="AY562" s="1758" t="s">
        <v>775</v>
      </c>
      <c r="AZ562" s="1758" t="s">
        <v>775</v>
      </c>
      <c r="BA562" s="1758" t="s">
        <v>775</v>
      </c>
      <c r="BB562" s="1758" t="s">
        <v>775</v>
      </c>
      <c r="BC562" t="s">
        <v>775</v>
      </c>
      <c r="BD562" t="s">
        <v>775</v>
      </c>
    </row>
    <row r="563" spans="40:56" ht="12" customHeight="1">
      <c r="AN563" t="str">
        <f t="shared" si="16"/>
        <v>4191706NULL</v>
      </c>
      <c r="AO563" t="str">
        <f t="shared" si="17"/>
        <v>4191706NULL</v>
      </c>
      <c r="AP563" s="1758" t="s">
        <v>774</v>
      </c>
      <c r="AQ563" s="1759">
        <v>4191706</v>
      </c>
      <c r="AR563" s="1758" t="s">
        <v>775</v>
      </c>
      <c r="AS563" s="1758">
        <v>29080</v>
      </c>
      <c r="AT563" s="1760">
        <v>29080</v>
      </c>
      <c r="AU563" s="1758" t="s">
        <v>775</v>
      </c>
      <c r="AV563" s="1758">
        <v>0</v>
      </c>
      <c r="AW563" s="1758" t="s">
        <v>775</v>
      </c>
      <c r="AX563" s="1758" t="s">
        <v>775</v>
      </c>
      <c r="AY563" s="1758" t="s">
        <v>775</v>
      </c>
      <c r="AZ563" s="1758" t="s">
        <v>775</v>
      </c>
      <c r="BA563" s="1758" t="s">
        <v>775</v>
      </c>
      <c r="BB563" s="1758" t="s">
        <v>775</v>
      </c>
      <c r="BC563" t="s">
        <v>775</v>
      </c>
      <c r="BD563" t="s">
        <v>775</v>
      </c>
    </row>
    <row r="564" spans="40:56" ht="12" customHeight="1">
      <c r="AN564" t="str">
        <f t="shared" si="16"/>
        <v>4191904NULL</v>
      </c>
      <c r="AO564" t="str">
        <f t="shared" si="17"/>
        <v>4191904NULL</v>
      </c>
      <c r="AP564" s="1758" t="s">
        <v>774</v>
      </c>
      <c r="AQ564" s="1759">
        <v>4191904</v>
      </c>
      <c r="AR564" s="1758" t="s">
        <v>775</v>
      </c>
      <c r="AS564" s="1758">
        <v>10600</v>
      </c>
      <c r="AT564" s="1760">
        <v>10600</v>
      </c>
      <c r="AU564" s="1758" t="s">
        <v>775</v>
      </c>
      <c r="AV564" s="1758">
        <v>0</v>
      </c>
      <c r="AW564" s="1758" t="s">
        <v>775</v>
      </c>
      <c r="AX564" s="1758" t="s">
        <v>775</v>
      </c>
      <c r="AY564" s="1758" t="s">
        <v>775</v>
      </c>
      <c r="AZ564" s="1758" t="s">
        <v>775</v>
      </c>
      <c r="BA564" s="1758" t="s">
        <v>775</v>
      </c>
      <c r="BB564" s="1758" t="s">
        <v>775</v>
      </c>
      <c r="BC564" t="s">
        <v>775</v>
      </c>
      <c r="BD564" t="s">
        <v>775</v>
      </c>
    </row>
    <row r="565" spans="40:56" ht="12" customHeight="1">
      <c r="AN565" t="str">
        <f t="shared" si="16"/>
        <v>4192407NULL</v>
      </c>
      <c r="AO565" t="str">
        <f t="shared" si="17"/>
        <v>4192407NULL</v>
      </c>
      <c r="AP565" s="1758" t="s">
        <v>774</v>
      </c>
      <c r="AQ565" s="1759">
        <v>4192407</v>
      </c>
      <c r="AR565" s="1758" t="s">
        <v>775</v>
      </c>
      <c r="AS565" s="1758">
        <v>14500</v>
      </c>
      <c r="AT565" s="1760">
        <v>14500</v>
      </c>
      <c r="AU565" s="1758" t="s">
        <v>775</v>
      </c>
      <c r="AV565" s="1758">
        <v>0</v>
      </c>
      <c r="AW565" s="1758" t="s">
        <v>775</v>
      </c>
      <c r="AX565" s="1758" t="s">
        <v>775</v>
      </c>
      <c r="AY565" s="1758" t="s">
        <v>775</v>
      </c>
      <c r="AZ565" s="1758" t="s">
        <v>775</v>
      </c>
      <c r="BA565" s="1758" t="s">
        <v>775</v>
      </c>
      <c r="BB565" s="1758" t="s">
        <v>775</v>
      </c>
      <c r="BC565" t="s">
        <v>775</v>
      </c>
      <c r="BD565" t="s">
        <v>775</v>
      </c>
    </row>
    <row r="566" spans="40:56" ht="12" customHeight="1">
      <c r="AN566" t="str">
        <f t="shared" si="16"/>
        <v>4176707NULL</v>
      </c>
      <c r="AO566" t="str">
        <f t="shared" si="17"/>
        <v>4176707NULL</v>
      </c>
      <c r="AP566" s="1758" t="s">
        <v>774</v>
      </c>
      <c r="AQ566" s="1759">
        <v>4176707</v>
      </c>
      <c r="AR566" s="1758" t="s">
        <v>775</v>
      </c>
      <c r="AS566" s="1758">
        <v>16100</v>
      </c>
      <c r="AT566" s="1760">
        <v>16100</v>
      </c>
      <c r="AU566" s="1758" t="s">
        <v>775</v>
      </c>
      <c r="AV566" s="1758">
        <v>0</v>
      </c>
      <c r="AW566" s="1758" t="s">
        <v>775</v>
      </c>
      <c r="AX566" s="1758" t="s">
        <v>775</v>
      </c>
      <c r="AY566" s="1758" t="s">
        <v>775</v>
      </c>
      <c r="AZ566" s="1758" t="s">
        <v>775</v>
      </c>
      <c r="BA566" s="1758" t="s">
        <v>775</v>
      </c>
      <c r="BB566" s="1758" t="s">
        <v>775</v>
      </c>
      <c r="BC566" t="s">
        <v>775</v>
      </c>
      <c r="BD566" t="s">
        <v>775</v>
      </c>
    </row>
    <row r="567" spans="40:56" ht="12" customHeight="1">
      <c r="AN567" t="str">
        <f t="shared" si="16"/>
        <v>4193207NULL</v>
      </c>
      <c r="AO567" t="str">
        <f t="shared" si="17"/>
        <v>4193207NULL</v>
      </c>
      <c r="AP567" s="1758" t="s">
        <v>774</v>
      </c>
      <c r="AQ567" s="1759">
        <v>4193207</v>
      </c>
      <c r="AR567" s="1758" t="s">
        <v>775</v>
      </c>
      <c r="AS567" s="1758">
        <v>6200</v>
      </c>
      <c r="AT567" s="1760">
        <v>6200</v>
      </c>
      <c r="AU567" s="1758" t="s">
        <v>775</v>
      </c>
      <c r="AV567" s="1758">
        <v>0</v>
      </c>
      <c r="AW567" s="1758" t="s">
        <v>775</v>
      </c>
      <c r="AX567" s="1758" t="s">
        <v>775</v>
      </c>
      <c r="AY567" s="1758" t="s">
        <v>775</v>
      </c>
      <c r="AZ567" s="1758" t="s">
        <v>775</v>
      </c>
      <c r="BA567" s="1758" t="s">
        <v>775</v>
      </c>
      <c r="BB567" s="1758" t="s">
        <v>775</v>
      </c>
      <c r="BC567" t="s">
        <v>775</v>
      </c>
      <c r="BD567" t="s">
        <v>775</v>
      </c>
    </row>
    <row r="568" spans="40:56" ht="12" customHeight="1">
      <c r="AN568" t="str">
        <f t="shared" si="16"/>
        <v>4190807NULL</v>
      </c>
      <c r="AO568" t="str">
        <f t="shared" si="17"/>
        <v>4190807NULL</v>
      </c>
      <c r="AP568" s="1758" t="s">
        <v>774</v>
      </c>
      <c r="AQ568" s="1759">
        <v>4190807</v>
      </c>
      <c r="AR568" s="1758" t="s">
        <v>775</v>
      </c>
      <c r="AS568" s="1758">
        <v>14300</v>
      </c>
      <c r="AT568" s="1760">
        <v>14300</v>
      </c>
      <c r="AU568" s="1758" t="s">
        <v>775</v>
      </c>
      <c r="AV568" s="1758">
        <v>0</v>
      </c>
      <c r="AW568" s="1758" t="s">
        <v>775</v>
      </c>
      <c r="AX568" s="1758" t="s">
        <v>775</v>
      </c>
      <c r="AY568" s="1758" t="s">
        <v>775</v>
      </c>
      <c r="AZ568" s="1758" t="s">
        <v>775</v>
      </c>
      <c r="BA568" s="1758" t="s">
        <v>775</v>
      </c>
      <c r="BB568" s="1758" t="s">
        <v>775</v>
      </c>
      <c r="BC568" t="s">
        <v>775</v>
      </c>
      <c r="BD568" t="s">
        <v>775</v>
      </c>
    </row>
    <row r="569" spans="40:56" ht="12" customHeight="1">
      <c r="AN569" t="str">
        <f t="shared" si="16"/>
        <v>4194106NULL</v>
      </c>
      <c r="AO569" t="str">
        <f t="shared" si="17"/>
        <v>4194106NULL</v>
      </c>
      <c r="AP569" s="1758" t="s">
        <v>774</v>
      </c>
      <c r="AQ569" s="1759">
        <v>4194106</v>
      </c>
      <c r="AR569" s="1758" t="s">
        <v>775</v>
      </c>
      <c r="AS569" s="1758">
        <v>15400</v>
      </c>
      <c r="AT569" s="1760">
        <v>15400</v>
      </c>
      <c r="AU569" s="1758" t="s">
        <v>775</v>
      </c>
      <c r="AV569" s="1758">
        <v>0</v>
      </c>
      <c r="AW569" s="1758" t="s">
        <v>775</v>
      </c>
      <c r="AX569" s="1758" t="s">
        <v>775</v>
      </c>
      <c r="AY569" s="1758" t="s">
        <v>775</v>
      </c>
      <c r="AZ569" s="1758" t="s">
        <v>775</v>
      </c>
      <c r="BA569" s="1758" t="s">
        <v>775</v>
      </c>
      <c r="BB569" s="1758" t="s">
        <v>775</v>
      </c>
      <c r="BC569" t="s">
        <v>775</v>
      </c>
      <c r="BD569" t="s">
        <v>775</v>
      </c>
    </row>
    <row r="570" spans="40:56" ht="12" customHeight="1">
      <c r="AN570" t="str">
        <f t="shared" si="16"/>
        <v>4194205NULL</v>
      </c>
      <c r="AO570" t="str">
        <f t="shared" si="17"/>
        <v>4194205NULL</v>
      </c>
      <c r="AP570" s="1758" t="s">
        <v>774</v>
      </c>
      <c r="AQ570" s="1759">
        <v>4194205</v>
      </c>
      <c r="AR570" s="1758" t="s">
        <v>775</v>
      </c>
      <c r="AS570" s="1758">
        <v>19600</v>
      </c>
      <c r="AT570" s="1760">
        <v>19600</v>
      </c>
      <c r="AU570" s="1758" t="s">
        <v>775</v>
      </c>
      <c r="AV570" s="1758">
        <v>0</v>
      </c>
      <c r="AW570" s="1758" t="s">
        <v>775</v>
      </c>
      <c r="AX570" s="1758" t="s">
        <v>775</v>
      </c>
      <c r="AY570" s="1758" t="s">
        <v>775</v>
      </c>
      <c r="AZ570" s="1758" t="s">
        <v>775</v>
      </c>
      <c r="BA570" s="1758" t="s">
        <v>775</v>
      </c>
      <c r="BB570" s="1758" t="s">
        <v>775</v>
      </c>
      <c r="BC570" t="s">
        <v>775</v>
      </c>
      <c r="BD570" t="s">
        <v>775</v>
      </c>
    </row>
    <row r="571" spans="40:56" ht="12" customHeight="1">
      <c r="AN571" t="str">
        <f t="shared" si="16"/>
        <v>4194601NULL</v>
      </c>
      <c r="AO571" t="str">
        <f t="shared" si="17"/>
        <v>4194601NULL</v>
      </c>
      <c r="AP571" s="1758" t="s">
        <v>774</v>
      </c>
      <c r="AQ571" s="1759">
        <v>4194601</v>
      </c>
      <c r="AR571" s="1758" t="s">
        <v>775</v>
      </c>
      <c r="AS571" s="1758">
        <v>18000</v>
      </c>
      <c r="AT571" s="1760">
        <v>18000</v>
      </c>
      <c r="AU571" s="1758" t="s">
        <v>775</v>
      </c>
      <c r="AV571" s="1758">
        <v>0</v>
      </c>
      <c r="AW571" s="1758" t="s">
        <v>775</v>
      </c>
      <c r="AX571" s="1758" t="s">
        <v>775</v>
      </c>
      <c r="AY571" s="1758" t="s">
        <v>775</v>
      </c>
      <c r="AZ571" s="1758" t="s">
        <v>775</v>
      </c>
      <c r="BA571" s="1758" t="s">
        <v>775</v>
      </c>
      <c r="BB571" s="1758" t="s">
        <v>775</v>
      </c>
      <c r="BC571" t="s">
        <v>775</v>
      </c>
      <c r="BD571" t="s">
        <v>775</v>
      </c>
    </row>
    <row r="572" spans="40:56" ht="12" customHeight="1">
      <c r="AN572" t="str">
        <f t="shared" si="16"/>
        <v>4194809NULL</v>
      </c>
      <c r="AO572" t="str">
        <f t="shared" si="17"/>
        <v>4194809NULL</v>
      </c>
      <c r="AP572" s="1758" t="s">
        <v>774</v>
      </c>
      <c r="AQ572" s="1759">
        <v>4194809</v>
      </c>
      <c r="AR572" s="1758" t="s">
        <v>775</v>
      </c>
      <c r="AS572" s="1758">
        <v>5200</v>
      </c>
      <c r="AT572" s="1760">
        <v>5200</v>
      </c>
      <c r="AU572" s="1758" t="s">
        <v>775</v>
      </c>
      <c r="AV572" s="1758">
        <v>0</v>
      </c>
      <c r="AW572" s="1758" t="s">
        <v>775</v>
      </c>
      <c r="AX572" s="1758" t="s">
        <v>775</v>
      </c>
      <c r="AY572" s="1758" t="s">
        <v>775</v>
      </c>
      <c r="AZ572" s="1758" t="s">
        <v>775</v>
      </c>
      <c r="BA572" s="1758" t="s">
        <v>775</v>
      </c>
      <c r="BB572" s="1758" t="s">
        <v>775</v>
      </c>
      <c r="BC572" t="s">
        <v>775</v>
      </c>
      <c r="BD572" t="s">
        <v>775</v>
      </c>
    </row>
    <row r="573" spans="40:56" ht="12" customHeight="1">
      <c r="AN573" t="str">
        <f t="shared" si="16"/>
        <v>4194908NULL</v>
      </c>
      <c r="AO573" t="str">
        <f t="shared" si="17"/>
        <v>4194908NULL</v>
      </c>
      <c r="AP573" s="1758" t="s">
        <v>774</v>
      </c>
      <c r="AQ573" s="1759">
        <v>4194908</v>
      </c>
      <c r="AR573" s="1758" t="s">
        <v>775</v>
      </c>
      <c r="AS573" s="1758">
        <v>4400</v>
      </c>
      <c r="AT573" s="1760">
        <v>4400</v>
      </c>
      <c r="AU573" s="1758" t="s">
        <v>775</v>
      </c>
      <c r="AV573" s="1758">
        <v>0</v>
      </c>
      <c r="AW573" s="1758" t="s">
        <v>775</v>
      </c>
      <c r="AX573" s="1758" t="s">
        <v>775</v>
      </c>
      <c r="AY573" s="1758" t="s">
        <v>775</v>
      </c>
      <c r="AZ573" s="1758" t="s">
        <v>775</v>
      </c>
      <c r="BA573" s="1758" t="s">
        <v>775</v>
      </c>
      <c r="BB573" s="1758" t="s">
        <v>775</v>
      </c>
      <c r="BC573" t="s">
        <v>775</v>
      </c>
      <c r="BD573" t="s">
        <v>775</v>
      </c>
    </row>
    <row r="574" spans="40:56" ht="12" customHeight="1">
      <c r="AN574" t="str">
        <f t="shared" si="16"/>
        <v>42116781154521615</v>
      </c>
      <c r="AO574" t="str">
        <f t="shared" si="17"/>
        <v>4211678NULL</v>
      </c>
      <c r="AP574" s="1758" t="s">
        <v>774</v>
      </c>
      <c r="AQ574" s="1759">
        <v>4211678</v>
      </c>
      <c r="AR574" s="1758" t="s">
        <v>775</v>
      </c>
      <c r="AS574" s="1758">
        <v>31200</v>
      </c>
      <c r="AT574" s="1760">
        <v>31200</v>
      </c>
      <c r="AU574" s="1758">
        <v>1154521615</v>
      </c>
      <c r="AV574" s="1758">
        <v>1154521615</v>
      </c>
      <c r="AW574" s="1758" t="s">
        <v>775</v>
      </c>
      <c r="AX574" s="1758" t="s">
        <v>775</v>
      </c>
      <c r="AY574" s="1758" t="s">
        <v>775</v>
      </c>
      <c r="AZ574" s="1758" t="s">
        <v>775</v>
      </c>
      <c r="BA574" s="1758" t="s">
        <v>775</v>
      </c>
      <c r="BB574" s="1758" t="s">
        <v>775</v>
      </c>
      <c r="BC574" t="s">
        <v>775</v>
      </c>
      <c r="BD574" t="s">
        <v>775</v>
      </c>
    </row>
    <row r="575" spans="40:56" ht="12" customHeight="1">
      <c r="AN575" t="str">
        <f t="shared" si="16"/>
        <v>4189809NULL</v>
      </c>
      <c r="AO575" t="str">
        <f t="shared" si="17"/>
        <v>4189809NULL</v>
      </c>
      <c r="AP575" s="1758" t="s">
        <v>774</v>
      </c>
      <c r="AQ575" s="1759">
        <v>4189809</v>
      </c>
      <c r="AR575" s="1758" t="s">
        <v>775</v>
      </c>
      <c r="AS575" s="1758">
        <v>9200</v>
      </c>
      <c r="AT575" s="1760">
        <v>9200</v>
      </c>
      <c r="AU575" s="1758" t="s">
        <v>775</v>
      </c>
      <c r="AV575" s="1758">
        <v>0</v>
      </c>
      <c r="AW575" s="1758" t="s">
        <v>775</v>
      </c>
      <c r="AX575" s="1758" t="s">
        <v>775</v>
      </c>
      <c r="AY575" s="1758" t="s">
        <v>775</v>
      </c>
      <c r="AZ575" s="1758" t="s">
        <v>775</v>
      </c>
      <c r="BA575" s="1758" t="s">
        <v>775</v>
      </c>
      <c r="BB575" s="1758" t="s">
        <v>775</v>
      </c>
      <c r="BC575" t="s">
        <v>775</v>
      </c>
      <c r="BD575" t="s">
        <v>775</v>
      </c>
    </row>
    <row r="576" spans="40:56" ht="12" customHeight="1">
      <c r="AN576" t="str">
        <f t="shared" si="16"/>
        <v>4194007NULL</v>
      </c>
      <c r="AO576" t="str">
        <f t="shared" si="17"/>
        <v>4194007NULL</v>
      </c>
      <c r="AP576" s="1758" t="s">
        <v>774</v>
      </c>
      <c r="AQ576" s="1759">
        <v>4194007</v>
      </c>
      <c r="AR576" s="1758" t="s">
        <v>775</v>
      </c>
      <c r="AS576" s="1758">
        <v>35030</v>
      </c>
      <c r="AT576" s="1760">
        <v>35030</v>
      </c>
      <c r="AU576" s="1758" t="s">
        <v>775</v>
      </c>
      <c r="AV576" s="1758">
        <v>0</v>
      </c>
      <c r="AW576" s="1758" t="s">
        <v>775</v>
      </c>
      <c r="AX576" s="1758" t="s">
        <v>775</v>
      </c>
      <c r="AY576" s="1758" t="s">
        <v>775</v>
      </c>
      <c r="AZ576" s="1758" t="s">
        <v>775</v>
      </c>
      <c r="BA576" s="1758" t="s">
        <v>775</v>
      </c>
      <c r="BB576" s="1758" t="s">
        <v>775</v>
      </c>
      <c r="BC576" t="s">
        <v>775</v>
      </c>
      <c r="BD576" t="s">
        <v>775</v>
      </c>
    </row>
    <row r="577" spans="40:56" ht="12" customHeight="1">
      <c r="AN577" t="str">
        <f t="shared" si="16"/>
        <v>4187001NULL</v>
      </c>
      <c r="AO577" t="str">
        <f t="shared" si="17"/>
        <v>4187001NULL</v>
      </c>
      <c r="AP577" s="1758" t="s">
        <v>774</v>
      </c>
      <c r="AQ577" s="1759">
        <v>4187001</v>
      </c>
      <c r="AR577" s="1758" t="s">
        <v>775</v>
      </c>
      <c r="AS577" s="1758">
        <v>7600</v>
      </c>
      <c r="AT577" s="1760">
        <v>7600</v>
      </c>
      <c r="AU577" s="1758" t="s">
        <v>775</v>
      </c>
      <c r="AV577" s="1758">
        <v>0</v>
      </c>
      <c r="AW577" s="1758" t="s">
        <v>775</v>
      </c>
      <c r="AX577" s="1758" t="s">
        <v>775</v>
      </c>
      <c r="AY577" s="1758" t="s">
        <v>775</v>
      </c>
      <c r="AZ577" s="1758" t="s">
        <v>775</v>
      </c>
      <c r="BA577" s="1758" t="s">
        <v>775</v>
      </c>
      <c r="BB577" s="1758" t="s">
        <v>775</v>
      </c>
      <c r="BC577" t="s">
        <v>775</v>
      </c>
      <c r="BD577" t="s">
        <v>775</v>
      </c>
    </row>
    <row r="578" spans="40:56" ht="12" customHeight="1">
      <c r="AN578" t="str">
        <f t="shared" si="16"/>
        <v>4187209NULL</v>
      </c>
      <c r="AO578" t="str">
        <f t="shared" si="17"/>
        <v>4187209NULL</v>
      </c>
      <c r="AP578" s="1758" t="s">
        <v>774</v>
      </c>
      <c r="AQ578" s="1759">
        <v>4187209</v>
      </c>
      <c r="AR578" s="1758" t="s">
        <v>775</v>
      </c>
      <c r="AS578" s="1758">
        <v>13400</v>
      </c>
      <c r="AT578" s="1760">
        <v>13400</v>
      </c>
      <c r="AU578" s="1758" t="s">
        <v>775</v>
      </c>
      <c r="AV578" s="1758">
        <v>0</v>
      </c>
      <c r="AW578" s="1758" t="s">
        <v>775</v>
      </c>
      <c r="AX578" s="1758" t="s">
        <v>775</v>
      </c>
      <c r="AY578" s="1758" t="s">
        <v>775</v>
      </c>
      <c r="AZ578" s="1758" t="s">
        <v>775</v>
      </c>
      <c r="BA578" s="1758" t="s">
        <v>775</v>
      </c>
      <c r="BB578" s="1758" t="s">
        <v>775</v>
      </c>
      <c r="BC578" t="s">
        <v>775</v>
      </c>
      <c r="BD578" t="s">
        <v>775</v>
      </c>
    </row>
    <row r="579" spans="40:56" ht="12" customHeight="1">
      <c r="AN579" t="str">
        <f t="shared" si="16"/>
        <v>4187605NULL</v>
      </c>
      <c r="AO579" t="str">
        <f t="shared" si="17"/>
        <v>4187605NULL</v>
      </c>
      <c r="AP579" s="1758" t="s">
        <v>774</v>
      </c>
      <c r="AQ579" s="1759">
        <v>4187605</v>
      </c>
      <c r="AR579" s="1758" t="s">
        <v>775</v>
      </c>
      <c r="AS579" s="1758">
        <v>5000</v>
      </c>
      <c r="AT579" s="1760">
        <v>5000</v>
      </c>
      <c r="AU579" s="1758" t="s">
        <v>775</v>
      </c>
      <c r="AV579" s="1758">
        <v>0</v>
      </c>
      <c r="AW579" s="1758" t="s">
        <v>775</v>
      </c>
      <c r="AX579" s="1758" t="s">
        <v>775</v>
      </c>
      <c r="AY579" s="1758" t="s">
        <v>775</v>
      </c>
      <c r="AZ579" s="1758" t="s">
        <v>775</v>
      </c>
      <c r="BA579" s="1758" t="s">
        <v>775</v>
      </c>
      <c r="BB579" s="1758" t="s">
        <v>775</v>
      </c>
      <c r="BC579" t="s">
        <v>775</v>
      </c>
      <c r="BD579" t="s">
        <v>775</v>
      </c>
    </row>
    <row r="580" spans="40:56" ht="12" customHeight="1">
      <c r="AN580" t="str">
        <f t="shared" si="16"/>
        <v>4188009NULL</v>
      </c>
      <c r="AO580" t="str">
        <f t="shared" si="17"/>
        <v>4188009NULL</v>
      </c>
      <c r="AP580" s="1758" t="s">
        <v>774</v>
      </c>
      <c r="AQ580" s="1759">
        <v>4188009</v>
      </c>
      <c r="AR580" s="1758" t="s">
        <v>775</v>
      </c>
      <c r="AS580" s="1758">
        <v>6400</v>
      </c>
      <c r="AT580" s="1760">
        <v>6400</v>
      </c>
      <c r="AU580" s="1758" t="s">
        <v>775</v>
      </c>
      <c r="AV580" s="1758">
        <v>0</v>
      </c>
      <c r="AW580" s="1758" t="s">
        <v>775</v>
      </c>
      <c r="AX580" s="1758" t="s">
        <v>775</v>
      </c>
      <c r="AY580" s="1758" t="s">
        <v>775</v>
      </c>
      <c r="AZ580" s="1758" t="s">
        <v>775</v>
      </c>
      <c r="BA580" s="1758" t="s">
        <v>775</v>
      </c>
      <c r="BB580" s="1758" t="s">
        <v>775</v>
      </c>
      <c r="BC580" t="s">
        <v>775</v>
      </c>
      <c r="BD580" t="s">
        <v>775</v>
      </c>
    </row>
    <row r="581" spans="40:56" ht="12" customHeight="1">
      <c r="AN581" t="str">
        <f aca="true" t="shared" si="18" ref="AN581:AN644">AQ581&amp;AU581</f>
        <v>4188702NULL</v>
      </c>
      <c r="AO581" t="str">
        <f aca="true" t="shared" si="19" ref="AO581:AO644">AQ581&amp;AW581</f>
        <v>4188702NULL</v>
      </c>
      <c r="AP581" s="1758" t="s">
        <v>774</v>
      </c>
      <c r="AQ581" s="1759">
        <v>4188702</v>
      </c>
      <c r="AR581" s="1758" t="s">
        <v>775</v>
      </c>
      <c r="AS581" s="1758">
        <v>13800</v>
      </c>
      <c r="AT581" s="1760">
        <v>13800</v>
      </c>
      <c r="AU581" s="1758" t="s">
        <v>775</v>
      </c>
      <c r="AV581" s="1758">
        <v>0</v>
      </c>
      <c r="AW581" s="1758" t="s">
        <v>775</v>
      </c>
      <c r="AX581" s="1758" t="s">
        <v>775</v>
      </c>
      <c r="AY581" s="1758" t="s">
        <v>775</v>
      </c>
      <c r="AZ581" s="1758" t="s">
        <v>775</v>
      </c>
      <c r="BA581" s="1758" t="s">
        <v>775</v>
      </c>
      <c r="BB581" s="1758" t="s">
        <v>775</v>
      </c>
      <c r="BC581" t="s">
        <v>775</v>
      </c>
      <c r="BD581" t="s">
        <v>775</v>
      </c>
    </row>
    <row r="582" spans="40:56" ht="12" customHeight="1">
      <c r="AN582" t="str">
        <f t="shared" si="18"/>
        <v>4191102NULL</v>
      </c>
      <c r="AO582" t="str">
        <f t="shared" si="19"/>
        <v>4191102NULL</v>
      </c>
      <c r="AP582" s="1758" t="s">
        <v>774</v>
      </c>
      <c r="AQ582" s="1759">
        <v>4191102</v>
      </c>
      <c r="AR582" s="1758" t="s">
        <v>775</v>
      </c>
      <c r="AS582" s="1758">
        <v>8800</v>
      </c>
      <c r="AT582" s="1760">
        <v>8800</v>
      </c>
      <c r="AU582" s="1758" t="s">
        <v>775</v>
      </c>
      <c r="AV582" s="1758">
        <v>0</v>
      </c>
      <c r="AW582" s="1758" t="s">
        <v>775</v>
      </c>
      <c r="AX582" s="1758" t="s">
        <v>775</v>
      </c>
      <c r="AY582" s="1758" t="s">
        <v>775</v>
      </c>
      <c r="AZ582" s="1758" t="s">
        <v>775</v>
      </c>
      <c r="BA582" s="1758" t="s">
        <v>775</v>
      </c>
      <c r="BB582" s="1758" t="s">
        <v>775</v>
      </c>
      <c r="BC582" t="s">
        <v>775</v>
      </c>
      <c r="BD582" t="s">
        <v>775</v>
      </c>
    </row>
    <row r="583" spans="40:56" ht="12" customHeight="1">
      <c r="AN583" t="str">
        <f t="shared" si="18"/>
        <v>4189502NULL</v>
      </c>
      <c r="AO583" t="str">
        <f t="shared" si="19"/>
        <v>4189502NULL</v>
      </c>
      <c r="AP583" s="1758" t="s">
        <v>774</v>
      </c>
      <c r="AQ583" s="1759">
        <v>4189502</v>
      </c>
      <c r="AR583" s="1758" t="s">
        <v>775</v>
      </c>
      <c r="AS583" s="1758">
        <v>17000</v>
      </c>
      <c r="AT583" s="1760">
        <v>17000</v>
      </c>
      <c r="AU583" s="1758" t="s">
        <v>775</v>
      </c>
      <c r="AV583" s="1758">
        <v>0</v>
      </c>
      <c r="AW583" s="1758" t="s">
        <v>775</v>
      </c>
      <c r="AX583" s="1758" t="s">
        <v>775</v>
      </c>
      <c r="AY583" s="1758" t="s">
        <v>775</v>
      </c>
      <c r="AZ583" s="1758" t="s">
        <v>775</v>
      </c>
      <c r="BA583" s="1758" t="s">
        <v>775</v>
      </c>
      <c r="BB583" s="1758" t="s">
        <v>775</v>
      </c>
      <c r="BC583" t="s">
        <v>775</v>
      </c>
      <c r="BD583" t="s">
        <v>775</v>
      </c>
    </row>
    <row r="584" spans="40:56" ht="12" customHeight="1">
      <c r="AN584" t="str">
        <f t="shared" si="18"/>
        <v>4191003NULL</v>
      </c>
      <c r="AO584" t="str">
        <f t="shared" si="19"/>
        <v>4191003NULL</v>
      </c>
      <c r="AP584" s="1758" t="s">
        <v>774</v>
      </c>
      <c r="AQ584" s="1759">
        <v>4191003</v>
      </c>
      <c r="AR584" s="1758" t="s">
        <v>775</v>
      </c>
      <c r="AS584" s="1758">
        <v>8200</v>
      </c>
      <c r="AT584" s="1760">
        <v>8200</v>
      </c>
      <c r="AU584" s="1758" t="s">
        <v>775</v>
      </c>
      <c r="AV584" s="1758">
        <v>0</v>
      </c>
      <c r="AW584" s="1758" t="s">
        <v>775</v>
      </c>
      <c r="AX584" s="1758" t="s">
        <v>775</v>
      </c>
      <c r="AY584" s="1758" t="s">
        <v>775</v>
      </c>
      <c r="AZ584" s="1758" t="s">
        <v>775</v>
      </c>
      <c r="BA584" s="1758" t="s">
        <v>775</v>
      </c>
      <c r="BB584" s="1758" t="s">
        <v>775</v>
      </c>
      <c r="BC584" t="s">
        <v>775</v>
      </c>
      <c r="BD584" t="s">
        <v>775</v>
      </c>
    </row>
    <row r="585" spans="40:56" ht="12" customHeight="1">
      <c r="AN585" t="str">
        <f t="shared" si="18"/>
        <v>4190104NULL</v>
      </c>
      <c r="AO585" t="str">
        <f t="shared" si="19"/>
        <v>4190104NULL</v>
      </c>
      <c r="AP585" s="1758" t="s">
        <v>774</v>
      </c>
      <c r="AQ585" s="1759">
        <v>4190104</v>
      </c>
      <c r="AR585" s="1758" t="s">
        <v>775</v>
      </c>
      <c r="AS585" s="1758">
        <v>14100</v>
      </c>
      <c r="AT585" s="1760">
        <v>14100</v>
      </c>
      <c r="AU585" s="1758" t="s">
        <v>775</v>
      </c>
      <c r="AV585" s="1758">
        <v>0</v>
      </c>
      <c r="AW585" s="1758" t="s">
        <v>775</v>
      </c>
      <c r="AX585" s="1758" t="s">
        <v>775</v>
      </c>
      <c r="AY585" s="1758" t="s">
        <v>775</v>
      </c>
      <c r="AZ585" s="1758" t="s">
        <v>775</v>
      </c>
      <c r="BA585" s="1758" t="s">
        <v>775</v>
      </c>
      <c r="BB585" s="1758" t="s">
        <v>775</v>
      </c>
      <c r="BC585" t="s">
        <v>775</v>
      </c>
      <c r="BD585" t="s">
        <v>775</v>
      </c>
    </row>
    <row r="586" spans="40:56" ht="12" customHeight="1">
      <c r="AN586" t="str">
        <f t="shared" si="18"/>
        <v>4190401NULL</v>
      </c>
      <c r="AO586" t="str">
        <f t="shared" si="19"/>
        <v>4190401NULL</v>
      </c>
      <c r="AP586" s="1758" t="s">
        <v>774</v>
      </c>
      <c r="AQ586" s="1759">
        <v>4190401</v>
      </c>
      <c r="AR586" s="1758" t="s">
        <v>775</v>
      </c>
      <c r="AS586" s="1758">
        <v>5600</v>
      </c>
      <c r="AT586" s="1760">
        <v>5600</v>
      </c>
      <c r="AU586" s="1758" t="s">
        <v>775</v>
      </c>
      <c r="AV586" s="1758">
        <v>0</v>
      </c>
      <c r="AW586" s="1758" t="s">
        <v>775</v>
      </c>
      <c r="AX586" s="1758" t="s">
        <v>775</v>
      </c>
      <c r="AY586" s="1758" t="s">
        <v>775</v>
      </c>
      <c r="AZ586" s="1758" t="s">
        <v>775</v>
      </c>
      <c r="BA586" s="1758" t="s">
        <v>775</v>
      </c>
      <c r="BB586" s="1758" t="s">
        <v>775</v>
      </c>
      <c r="BC586" t="s">
        <v>775</v>
      </c>
      <c r="BD586" t="s">
        <v>775</v>
      </c>
    </row>
    <row r="587" spans="40:56" ht="12" customHeight="1">
      <c r="AN587" t="str">
        <f t="shared" si="18"/>
        <v>4195301NULL</v>
      </c>
      <c r="AO587" t="str">
        <f t="shared" si="19"/>
        <v>4195301NULL</v>
      </c>
      <c r="AP587" s="1758" t="s">
        <v>774</v>
      </c>
      <c r="AQ587" s="1759">
        <v>4195301</v>
      </c>
      <c r="AR587" s="1758" t="s">
        <v>775</v>
      </c>
      <c r="AS587" s="1758">
        <v>35060</v>
      </c>
      <c r="AT587" s="1759">
        <v>35060</v>
      </c>
      <c r="AU587" s="1758" t="s">
        <v>775</v>
      </c>
      <c r="AV587" s="1758">
        <v>0</v>
      </c>
      <c r="AW587" s="1758" t="s">
        <v>775</v>
      </c>
      <c r="AX587" s="1758" t="s">
        <v>775</v>
      </c>
      <c r="AY587" s="1758" t="s">
        <v>775</v>
      </c>
      <c r="AZ587" s="1758" t="s">
        <v>775</v>
      </c>
      <c r="BA587" s="1758" t="s">
        <v>775</v>
      </c>
      <c r="BB587" s="1758" t="s">
        <v>775</v>
      </c>
      <c r="BC587" t="s">
        <v>775</v>
      </c>
      <c r="BD587" t="s">
        <v>775</v>
      </c>
    </row>
    <row r="588" spans="40:56" ht="12" customHeight="1">
      <c r="AN588" t="str">
        <f t="shared" si="18"/>
        <v>4189007NULL</v>
      </c>
      <c r="AO588" t="str">
        <f t="shared" si="19"/>
        <v>4189007NULL</v>
      </c>
      <c r="AP588" s="1758" t="s">
        <v>774</v>
      </c>
      <c r="AQ588" s="1759">
        <v>4189007</v>
      </c>
      <c r="AR588" s="1758" t="s">
        <v>775</v>
      </c>
      <c r="AS588" s="1758">
        <v>17600</v>
      </c>
      <c r="AT588" s="1760">
        <v>17600</v>
      </c>
      <c r="AU588" s="1758" t="s">
        <v>775</v>
      </c>
      <c r="AV588" s="1758">
        <v>0</v>
      </c>
      <c r="AW588" s="1758" t="s">
        <v>775</v>
      </c>
      <c r="AX588" s="1758" t="s">
        <v>775</v>
      </c>
      <c r="AY588" s="1758" t="s">
        <v>775</v>
      </c>
      <c r="AZ588" s="1758" t="s">
        <v>775</v>
      </c>
      <c r="BA588" s="1758" t="s">
        <v>775</v>
      </c>
      <c r="BB588" s="1758" t="s">
        <v>775</v>
      </c>
      <c r="BC588" t="s">
        <v>775</v>
      </c>
      <c r="BD588" t="s">
        <v>775</v>
      </c>
    </row>
    <row r="589" spans="40:56" ht="12" customHeight="1">
      <c r="AN589" t="str">
        <f t="shared" si="18"/>
        <v>4335204NULL</v>
      </c>
      <c r="AO589" t="str">
        <f t="shared" si="19"/>
        <v>4335204NULL</v>
      </c>
      <c r="AP589" s="1758" t="s">
        <v>774</v>
      </c>
      <c r="AQ589" s="1759">
        <v>4335204</v>
      </c>
      <c r="AR589" s="1758" t="s">
        <v>775</v>
      </c>
      <c r="AS589" s="1758">
        <v>34200</v>
      </c>
      <c r="AT589" s="1760">
        <v>34200</v>
      </c>
      <c r="AU589" s="1758" t="s">
        <v>775</v>
      </c>
      <c r="AV589" s="1758">
        <v>0</v>
      </c>
      <c r="AW589" s="1758" t="s">
        <v>775</v>
      </c>
      <c r="AX589" s="1758" t="s">
        <v>775</v>
      </c>
      <c r="AY589" s="1758" t="s">
        <v>775</v>
      </c>
      <c r="AZ589" s="1758" t="s">
        <v>775</v>
      </c>
      <c r="BA589" s="1758" t="s">
        <v>775</v>
      </c>
      <c r="BB589" s="1758" t="s">
        <v>775</v>
      </c>
      <c r="BC589" t="s">
        <v>775</v>
      </c>
      <c r="BD589" t="s">
        <v>775</v>
      </c>
    </row>
    <row r="590" spans="40:56" ht="12" customHeight="1">
      <c r="AN590" t="str">
        <f t="shared" si="18"/>
        <v>4192803NULL</v>
      </c>
      <c r="AO590" t="str">
        <f t="shared" si="19"/>
        <v>4192803NULL</v>
      </c>
      <c r="AP590" s="1758" t="s">
        <v>774</v>
      </c>
      <c r="AQ590" s="1759">
        <v>4192803</v>
      </c>
      <c r="AR590" s="1758" t="s">
        <v>775</v>
      </c>
      <c r="AS590" s="1758">
        <v>19800</v>
      </c>
      <c r="AT590" s="1760">
        <v>19800</v>
      </c>
      <c r="AU590" s="1758" t="s">
        <v>775</v>
      </c>
      <c r="AV590" s="1758">
        <v>0</v>
      </c>
      <c r="AW590" s="1758" t="s">
        <v>775</v>
      </c>
      <c r="AX590" s="1758" t="s">
        <v>775</v>
      </c>
      <c r="AY590" s="1758" t="s">
        <v>775</v>
      </c>
      <c r="AZ590" s="1758" t="s">
        <v>775</v>
      </c>
      <c r="BA590" s="1758" t="s">
        <v>775</v>
      </c>
      <c r="BB590" s="1758" t="s">
        <v>775</v>
      </c>
      <c r="BC590" t="s">
        <v>775</v>
      </c>
      <c r="BD590" t="s">
        <v>775</v>
      </c>
    </row>
    <row r="591" spans="40:56" ht="12" customHeight="1">
      <c r="AN591" t="str">
        <f t="shared" si="18"/>
        <v>42119181033106687</v>
      </c>
      <c r="AO591" t="str">
        <f t="shared" si="19"/>
        <v>4211918200253100</v>
      </c>
      <c r="AP591" s="1758" t="s">
        <v>774</v>
      </c>
      <c r="AQ591" s="1759">
        <v>4211918</v>
      </c>
      <c r="AR591" s="1758" t="s">
        <v>775</v>
      </c>
      <c r="AS591" s="1758">
        <v>40610</v>
      </c>
      <c r="AT591" s="1760">
        <v>40610</v>
      </c>
      <c r="AU591" s="1758">
        <v>1033106687</v>
      </c>
      <c r="AV591" s="1758">
        <v>1033106687</v>
      </c>
      <c r="AW591" s="1758">
        <v>200253100</v>
      </c>
      <c r="AX591" s="1758" t="s">
        <v>775</v>
      </c>
      <c r="AY591" s="1758" t="s">
        <v>775</v>
      </c>
      <c r="AZ591" s="1758" t="s">
        <v>775</v>
      </c>
      <c r="BA591" s="1758" t="s">
        <v>775</v>
      </c>
      <c r="BB591" s="1758" t="s">
        <v>775</v>
      </c>
      <c r="BC591" t="s">
        <v>775</v>
      </c>
      <c r="BD591" t="s">
        <v>775</v>
      </c>
    </row>
    <row r="592" spans="40:56" ht="12" customHeight="1">
      <c r="AN592" t="str">
        <f t="shared" si="18"/>
        <v>4182408NULL</v>
      </c>
      <c r="AO592" t="str">
        <f t="shared" si="19"/>
        <v>4182408NULL</v>
      </c>
      <c r="AP592" s="1758" t="s">
        <v>774</v>
      </c>
      <c r="AQ592" s="1759">
        <v>4182408</v>
      </c>
      <c r="AR592" s="1758" t="s">
        <v>775</v>
      </c>
      <c r="AS592" s="1758">
        <v>9000</v>
      </c>
      <c r="AT592" s="1760">
        <v>9000</v>
      </c>
      <c r="AU592" s="1758" t="s">
        <v>775</v>
      </c>
      <c r="AV592" s="1758">
        <v>0</v>
      </c>
      <c r="AW592" s="1758" t="s">
        <v>775</v>
      </c>
      <c r="AX592" s="1758" t="s">
        <v>775</v>
      </c>
      <c r="AY592" s="1758" t="s">
        <v>775</v>
      </c>
      <c r="AZ592" s="1758" t="s">
        <v>775</v>
      </c>
      <c r="BA592" s="1758" t="s">
        <v>775</v>
      </c>
      <c r="BB592" s="1758" t="s">
        <v>775</v>
      </c>
      <c r="BC592" t="s">
        <v>775</v>
      </c>
      <c r="BD592" t="s">
        <v>775</v>
      </c>
    </row>
    <row r="593" spans="40:56" ht="12" customHeight="1">
      <c r="AN593" t="str">
        <f t="shared" si="18"/>
        <v>4153201NULL</v>
      </c>
      <c r="AO593" t="str">
        <f t="shared" si="19"/>
        <v>4153201NULL</v>
      </c>
      <c r="AP593" s="1758" t="s">
        <v>774</v>
      </c>
      <c r="AQ593" s="1759">
        <v>4153201</v>
      </c>
      <c r="AR593" s="1758" t="s">
        <v>775</v>
      </c>
      <c r="AS593" s="1758">
        <v>14600</v>
      </c>
      <c r="AT593" s="1760">
        <v>14600</v>
      </c>
      <c r="AU593" s="1758" t="s">
        <v>775</v>
      </c>
      <c r="AV593" s="1758">
        <v>0</v>
      </c>
      <c r="AW593" s="1758" t="s">
        <v>775</v>
      </c>
      <c r="AX593" s="1758" t="s">
        <v>775</v>
      </c>
      <c r="AY593" s="1758" t="s">
        <v>775</v>
      </c>
      <c r="AZ593" s="1758" t="s">
        <v>775</v>
      </c>
      <c r="BA593" s="1758" t="s">
        <v>775</v>
      </c>
      <c r="BB593" s="1758" t="s">
        <v>775</v>
      </c>
      <c r="BC593" t="s">
        <v>775</v>
      </c>
      <c r="BD593" t="s">
        <v>775</v>
      </c>
    </row>
    <row r="594" spans="40:56" ht="12" customHeight="1">
      <c r="AN594" t="str">
        <f t="shared" si="18"/>
        <v>4113189NULL</v>
      </c>
      <c r="AO594" t="str">
        <f t="shared" si="19"/>
        <v>4113189NULL</v>
      </c>
      <c r="AP594" s="1758" t="s">
        <v>774</v>
      </c>
      <c r="AQ594" s="1759">
        <v>4113189</v>
      </c>
      <c r="AR594" s="1758" t="s">
        <v>775</v>
      </c>
      <c r="AS594" s="1758">
        <v>9600</v>
      </c>
      <c r="AT594" s="1760">
        <v>9600</v>
      </c>
      <c r="AU594" s="1758" t="s">
        <v>775</v>
      </c>
      <c r="AV594" s="1758">
        <v>0</v>
      </c>
      <c r="AW594" s="1758" t="s">
        <v>775</v>
      </c>
      <c r="AX594" s="1758" t="s">
        <v>775</v>
      </c>
      <c r="AY594" s="1758" t="s">
        <v>775</v>
      </c>
      <c r="AZ594" s="1758" t="s">
        <v>775</v>
      </c>
      <c r="BA594" s="1758" t="s">
        <v>775</v>
      </c>
      <c r="BB594" s="1758" t="s">
        <v>775</v>
      </c>
      <c r="BC594" t="s">
        <v>775</v>
      </c>
      <c r="BD594" t="s">
        <v>775</v>
      </c>
    </row>
    <row r="595" spans="40:56" ht="12" customHeight="1">
      <c r="AN595" t="str">
        <f t="shared" si="18"/>
        <v>4113171NULL</v>
      </c>
      <c r="AO595" t="str">
        <f t="shared" si="19"/>
        <v>4113171NULL</v>
      </c>
      <c r="AP595" s="1758" t="s">
        <v>774</v>
      </c>
      <c r="AQ595" s="1759">
        <v>4113171</v>
      </c>
      <c r="AR595" s="1758" t="s">
        <v>775</v>
      </c>
      <c r="AS595" s="1758">
        <v>5800</v>
      </c>
      <c r="AT595" s="1759">
        <v>5800</v>
      </c>
      <c r="AU595" s="1758" t="s">
        <v>775</v>
      </c>
      <c r="AV595" s="1758">
        <v>0</v>
      </c>
      <c r="AW595" s="1758" t="s">
        <v>775</v>
      </c>
      <c r="AX595" s="1758" t="s">
        <v>775</v>
      </c>
      <c r="AY595" s="1758" t="s">
        <v>775</v>
      </c>
      <c r="AZ595" s="1758" t="s">
        <v>775</v>
      </c>
      <c r="BA595" s="1758" t="s">
        <v>775</v>
      </c>
      <c r="BB595" s="1758" t="s">
        <v>775</v>
      </c>
      <c r="BC595" t="s">
        <v>775</v>
      </c>
      <c r="BD595" t="s">
        <v>775</v>
      </c>
    </row>
    <row r="596" spans="40:56" ht="12" customHeight="1">
      <c r="AN596" t="str">
        <f t="shared" si="18"/>
        <v>4113122NULL</v>
      </c>
      <c r="AO596" t="str">
        <f t="shared" si="19"/>
        <v>4113122NULL</v>
      </c>
      <c r="AP596" s="1758" t="s">
        <v>774</v>
      </c>
      <c r="AQ596" s="1759">
        <v>4113122</v>
      </c>
      <c r="AR596" s="1758" t="s">
        <v>775</v>
      </c>
      <c r="AS596" s="1758">
        <v>5600</v>
      </c>
      <c r="AT596" s="1760">
        <v>5600</v>
      </c>
      <c r="AU596" s="1758" t="s">
        <v>775</v>
      </c>
      <c r="AV596" s="1758">
        <v>0</v>
      </c>
      <c r="AW596" s="1758" t="s">
        <v>775</v>
      </c>
      <c r="AX596" s="1758" t="s">
        <v>775</v>
      </c>
      <c r="AY596" s="1758" t="s">
        <v>775</v>
      </c>
      <c r="AZ596" s="1758" t="s">
        <v>775</v>
      </c>
      <c r="BA596" s="1758" t="s">
        <v>775</v>
      </c>
      <c r="BB596" s="1758" t="s">
        <v>775</v>
      </c>
      <c r="BC596" t="s">
        <v>775</v>
      </c>
      <c r="BD596" t="s">
        <v>775</v>
      </c>
    </row>
    <row r="597" spans="40:56" ht="12" customHeight="1">
      <c r="AN597" t="str">
        <f t="shared" si="18"/>
        <v>4113023NULL</v>
      </c>
      <c r="AO597" t="str">
        <f t="shared" si="19"/>
        <v>4113023NULL</v>
      </c>
      <c r="AP597" s="1758" t="s">
        <v>774</v>
      </c>
      <c r="AQ597" s="1759">
        <v>4113023</v>
      </c>
      <c r="AR597" s="1758" t="s">
        <v>775</v>
      </c>
      <c r="AS597" s="1758">
        <v>40760</v>
      </c>
      <c r="AT597" s="1760">
        <v>40760</v>
      </c>
      <c r="AU597" s="1758" t="s">
        <v>775</v>
      </c>
      <c r="AV597" s="1758">
        <v>0</v>
      </c>
      <c r="AW597" s="1758" t="s">
        <v>775</v>
      </c>
      <c r="AX597" s="1758" t="s">
        <v>775</v>
      </c>
      <c r="AY597" s="1758" t="s">
        <v>775</v>
      </c>
      <c r="AZ597" s="1758" t="s">
        <v>775</v>
      </c>
      <c r="BA597" s="1758" t="s">
        <v>775</v>
      </c>
      <c r="BB597" s="1758" t="s">
        <v>775</v>
      </c>
      <c r="BC597" t="s">
        <v>775</v>
      </c>
      <c r="BD597" t="s">
        <v>775</v>
      </c>
    </row>
    <row r="598" spans="40:56" ht="12" customHeight="1">
      <c r="AN598" t="str">
        <f t="shared" si="18"/>
        <v>4113015NULL</v>
      </c>
      <c r="AO598" t="str">
        <f t="shared" si="19"/>
        <v>4113015NULL</v>
      </c>
      <c r="AP598" s="1758" t="s">
        <v>774</v>
      </c>
      <c r="AQ598" s="1759">
        <v>4113015</v>
      </c>
      <c r="AR598" s="1758" t="s">
        <v>775</v>
      </c>
      <c r="AS598" s="1758">
        <v>10100</v>
      </c>
      <c r="AT598" s="1760">
        <v>10100</v>
      </c>
      <c r="AU598" s="1758" t="s">
        <v>775</v>
      </c>
      <c r="AV598" s="1758">
        <v>0</v>
      </c>
      <c r="AW598" s="1758" t="s">
        <v>775</v>
      </c>
      <c r="AX598" s="1758" t="s">
        <v>775</v>
      </c>
      <c r="AY598" s="1758" t="s">
        <v>775</v>
      </c>
      <c r="AZ598" s="1758" t="s">
        <v>775</v>
      </c>
      <c r="BA598" s="1758" t="s">
        <v>775</v>
      </c>
      <c r="BB598" s="1758" t="s">
        <v>775</v>
      </c>
      <c r="BC598" t="s">
        <v>775</v>
      </c>
      <c r="BD598" t="s">
        <v>775</v>
      </c>
    </row>
    <row r="599" spans="40:56" ht="12" customHeight="1">
      <c r="AN599" t="str">
        <f t="shared" si="18"/>
        <v>42082031023119500</v>
      </c>
      <c r="AO599" t="str">
        <f t="shared" si="19"/>
        <v>4208203100064700</v>
      </c>
      <c r="AP599" s="1758" t="s">
        <v>774</v>
      </c>
      <c r="AQ599" s="1759">
        <v>4208203</v>
      </c>
      <c r="AR599" s="1758" t="s">
        <v>775</v>
      </c>
      <c r="AS599" s="1758">
        <v>23700</v>
      </c>
      <c r="AT599" s="1760">
        <v>23700</v>
      </c>
      <c r="AU599" s="1758">
        <v>1023119500</v>
      </c>
      <c r="AV599" s="1758">
        <v>1023119500</v>
      </c>
      <c r="AW599" s="1758">
        <v>100064700</v>
      </c>
      <c r="AX599" s="1758" t="s">
        <v>775</v>
      </c>
      <c r="AY599" s="1758" t="s">
        <v>775</v>
      </c>
      <c r="AZ599" s="1758" t="s">
        <v>775</v>
      </c>
      <c r="BA599" s="1758" t="s">
        <v>775</v>
      </c>
      <c r="BB599" s="1758" t="s">
        <v>775</v>
      </c>
      <c r="BC599" t="s">
        <v>775</v>
      </c>
      <c r="BD599" t="s">
        <v>775</v>
      </c>
    </row>
    <row r="600" spans="40:56" ht="12" customHeight="1">
      <c r="AN600" t="str">
        <f t="shared" si="18"/>
        <v>41131971730189440</v>
      </c>
      <c r="AO600" t="str">
        <f t="shared" si="19"/>
        <v>4113197NULL</v>
      </c>
      <c r="AP600" s="1758" t="s">
        <v>774</v>
      </c>
      <c r="AQ600" s="1759">
        <v>4113197</v>
      </c>
      <c r="AR600" s="1758" t="s">
        <v>775</v>
      </c>
      <c r="AS600" s="1758">
        <v>40580</v>
      </c>
      <c r="AT600" s="1760">
        <v>40580</v>
      </c>
      <c r="AU600" s="1758">
        <v>1730189440</v>
      </c>
      <c r="AV600" s="1758">
        <v>1730189440</v>
      </c>
      <c r="AW600" s="1758" t="s">
        <v>775</v>
      </c>
      <c r="AX600" s="1758" t="s">
        <v>775</v>
      </c>
      <c r="AY600" s="1758" t="s">
        <v>775</v>
      </c>
      <c r="AZ600" s="1758" t="s">
        <v>775</v>
      </c>
      <c r="BA600" s="1758" t="s">
        <v>775</v>
      </c>
      <c r="BB600" s="1758" t="s">
        <v>775</v>
      </c>
      <c r="BC600" t="s">
        <v>775</v>
      </c>
      <c r="BD600" t="s">
        <v>775</v>
      </c>
    </row>
    <row r="601" spans="40:56" ht="12" customHeight="1">
      <c r="AN601" t="str">
        <f t="shared" si="18"/>
        <v>4113205NULL</v>
      </c>
      <c r="AO601" t="str">
        <f t="shared" si="19"/>
        <v>4113205NULL</v>
      </c>
      <c r="AP601" s="1758" t="s">
        <v>774</v>
      </c>
      <c r="AQ601" s="1759">
        <v>4113205</v>
      </c>
      <c r="AR601" s="1758" t="s">
        <v>775</v>
      </c>
      <c r="AS601" s="1758">
        <v>40750</v>
      </c>
      <c r="AT601" s="1760">
        <v>40750</v>
      </c>
      <c r="AU601" s="1758" t="s">
        <v>775</v>
      </c>
      <c r="AV601" s="1758">
        <v>0</v>
      </c>
      <c r="AW601" s="1758" t="s">
        <v>775</v>
      </c>
      <c r="AX601" s="1758" t="s">
        <v>775</v>
      </c>
      <c r="AY601" s="1758" t="s">
        <v>775</v>
      </c>
      <c r="AZ601" s="1758" t="s">
        <v>775</v>
      </c>
      <c r="BA601" s="1758" t="s">
        <v>775</v>
      </c>
      <c r="BB601" s="1758" t="s">
        <v>775</v>
      </c>
      <c r="BC601" t="s">
        <v>775</v>
      </c>
      <c r="BD601" t="s">
        <v>775</v>
      </c>
    </row>
    <row r="602" spans="40:56" ht="12" customHeight="1">
      <c r="AN602" t="str">
        <f t="shared" si="18"/>
        <v>4113296NULL</v>
      </c>
      <c r="AO602" t="str">
        <f t="shared" si="19"/>
        <v>4113296NULL</v>
      </c>
      <c r="AP602" s="1758" t="s">
        <v>774</v>
      </c>
      <c r="AQ602" s="1759">
        <v>4113296</v>
      </c>
      <c r="AR602" s="1758" t="s">
        <v>775</v>
      </c>
      <c r="AS602" s="1758">
        <v>40790</v>
      </c>
      <c r="AT602" s="1759">
        <v>40790</v>
      </c>
      <c r="AU602" s="1758" t="s">
        <v>775</v>
      </c>
      <c r="AV602" s="1758">
        <v>0</v>
      </c>
      <c r="AW602" s="1758" t="s">
        <v>775</v>
      </c>
      <c r="AX602" s="1758" t="s">
        <v>775</v>
      </c>
      <c r="AY602" s="1758" t="s">
        <v>775</v>
      </c>
      <c r="AZ602" s="1758" t="s">
        <v>775</v>
      </c>
      <c r="BA602" s="1758" t="s">
        <v>775</v>
      </c>
      <c r="BB602" s="1758" t="s">
        <v>775</v>
      </c>
      <c r="BC602" t="s">
        <v>775</v>
      </c>
      <c r="BD602" t="s">
        <v>775</v>
      </c>
    </row>
    <row r="603" spans="40:56" ht="12" customHeight="1">
      <c r="AN603" t="str">
        <f t="shared" si="18"/>
        <v>4113387NULL</v>
      </c>
      <c r="AO603" t="str">
        <f t="shared" si="19"/>
        <v>4113387NULL</v>
      </c>
      <c r="AP603" s="1758" t="s">
        <v>774</v>
      </c>
      <c r="AQ603" s="1759">
        <v>4113387</v>
      </c>
      <c r="AR603" s="1758" t="s">
        <v>775</v>
      </c>
      <c r="AS603" s="1758">
        <v>35050</v>
      </c>
      <c r="AT603" s="1760">
        <v>35050</v>
      </c>
      <c r="AU603" s="1758" t="s">
        <v>775</v>
      </c>
      <c r="AV603" s="1758">
        <v>0</v>
      </c>
      <c r="AW603" s="1758" t="s">
        <v>775</v>
      </c>
      <c r="AX603" s="1758" t="s">
        <v>775</v>
      </c>
      <c r="AY603" s="1758" t="s">
        <v>775</v>
      </c>
      <c r="AZ603" s="1758" t="s">
        <v>775</v>
      </c>
      <c r="BA603" s="1758" t="s">
        <v>775</v>
      </c>
      <c r="BB603" s="1758" t="s">
        <v>775</v>
      </c>
      <c r="BC603" t="s">
        <v>775</v>
      </c>
      <c r="BD603" t="s">
        <v>775</v>
      </c>
    </row>
    <row r="604" spans="40:56" ht="12" customHeight="1">
      <c r="AN604" t="str">
        <f t="shared" si="18"/>
        <v>4177507NULL</v>
      </c>
      <c r="AO604" t="str">
        <f t="shared" si="19"/>
        <v>4177507NULL</v>
      </c>
      <c r="AP604" s="1758" t="s">
        <v>774</v>
      </c>
      <c r="AQ604" s="1759">
        <v>4177507</v>
      </c>
      <c r="AR604" s="1758" t="s">
        <v>775</v>
      </c>
      <c r="AS604" s="1758">
        <v>9600</v>
      </c>
      <c r="AT604" s="1759">
        <v>9600</v>
      </c>
      <c r="AU604" s="1758" t="s">
        <v>775</v>
      </c>
      <c r="AV604" s="1758">
        <v>0</v>
      </c>
      <c r="AW604" s="1758" t="s">
        <v>775</v>
      </c>
      <c r="AX604" s="1758" t="s">
        <v>775</v>
      </c>
      <c r="AY604" s="1758" t="s">
        <v>775</v>
      </c>
      <c r="AZ604" s="1758" t="s">
        <v>775</v>
      </c>
      <c r="BA604" s="1758" t="s">
        <v>775</v>
      </c>
      <c r="BB604" s="1758" t="s">
        <v>775</v>
      </c>
      <c r="BC604" t="s">
        <v>775</v>
      </c>
      <c r="BD604" t="s">
        <v>775</v>
      </c>
    </row>
    <row r="605" spans="40:56" ht="12" customHeight="1">
      <c r="AN605" t="str">
        <f t="shared" si="18"/>
        <v>4191300NULL</v>
      </c>
      <c r="AO605" t="str">
        <f t="shared" si="19"/>
        <v>4191300NULL</v>
      </c>
      <c r="AP605" s="1758" t="s">
        <v>774</v>
      </c>
      <c r="AQ605" s="1759">
        <v>4191300</v>
      </c>
      <c r="AR605" s="1758" t="s">
        <v>775</v>
      </c>
      <c r="AS605" s="1758">
        <v>7400</v>
      </c>
      <c r="AT605" s="1759">
        <v>7400</v>
      </c>
      <c r="AU605" s="1758" t="s">
        <v>775</v>
      </c>
      <c r="AV605" s="1758">
        <v>0</v>
      </c>
      <c r="AW605" s="1758" t="s">
        <v>775</v>
      </c>
      <c r="AX605" s="1758" t="s">
        <v>775</v>
      </c>
      <c r="AY605" s="1758" t="s">
        <v>775</v>
      </c>
      <c r="AZ605" s="1758" t="s">
        <v>775</v>
      </c>
      <c r="BA605" s="1758" t="s">
        <v>775</v>
      </c>
      <c r="BB605" s="1758" t="s">
        <v>775</v>
      </c>
      <c r="BC605" t="s">
        <v>775</v>
      </c>
      <c r="BD605" t="s">
        <v>775</v>
      </c>
    </row>
    <row r="606" spans="40:56" ht="12" customHeight="1">
      <c r="AN606" t="str">
        <f t="shared" si="18"/>
        <v>41129341679665269</v>
      </c>
      <c r="AO606" t="str">
        <f t="shared" si="19"/>
        <v>4112934101620700</v>
      </c>
      <c r="AP606" s="1758" t="s">
        <v>774</v>
      </c>
      <c r="AQ606" s="1759">
        <v>4112934</v>
      </c>
      <c r="AR606" s="1758" t="s">
        <v>775</v>
      </c>
      <c r="AS606" s="1758">
        <v>33000</v>
      </c>
      <c r="AT606" s="1759">
        <v>33000</v>
      </c>
      <c r="AU606" s="1758">
        <v>1679665269</v>
      </c>
      <c r="AV606" s="1758">
        <v>1679665269</v>
      </c>
      <c r="AW606" s="1758">
        <v>101620700</v>
      </c>
      <c r="AX606" s="1758" t="s">
        <v>775</v>
      </c>
      <c r="AY606" s="1758" t="s">
        <v>775</v>
      </c>
      <c r="AZ606" s="1758" t="s">
        <v>775</v>
      </c>
      <c r="BA606" s="1758" t="s">
        <v>775</v>
      </c>
      <c r="BB606" s="1758" t="s">
        <v>775</v>
      </c>
      <c r="BC606" t="s">
        <v>775</v>
      </c>
      <c r="BD606" t="s">
        <v>775</v>
      </c>
    </row>
    <row r="607" spans="40:56" ht="12" customHeight="1">
      <c r="AN607" t="str">
        <f t="shared" si="18"/>
        <v>4190302NULL</v>
      </c>
      <c r="AO607" t="str">
        <f t="shared" si="19"/>
        <v>4190302NULL</v>
      </c>
      <c r="AP607" s="1758" t="s">
        <v>774</v>
      </c>
      <c r="AQ607" s="1759">
        <v>4190302</v>
      </c>
      <c r="AR607" s="1758" t="s">
        <v>775</v>
      </c>
      <c r="AS607" s="1758">
        <v>9100</v>
      </c>
      <c r="AT607" s="1759">
        <v>9100</v>
      </c>
      <c r="AU607" s="1758" t="s">
        <v>775</v>
      </c>
      <c r="AV607" s="1758">
        <v>0</v>
      </c>
      <c r="AW607" s="1758" t="s">
        <v>775</v>
      </c>
      <c r="AX607" s="1758" t="s">
        <v>775</v>
      </c>
      <c r="AY607" s="1758" t="s">
        <v>775</v>
      </c>
      <c r="AZ607" s="1758" t="s">
        <v>775</v>
      </c>
      <c r="BA607" s="1758" t="s">
        <v>775</v>
      </c>
      <c r="BB607" s="1758" t="s">
        <v>775</v>
      </c>
      <c r="BC607" t="s">
        <v>775</v>
      </c>
      <c r="BD607" t="s">
        <v>775</v>
      </c>
    </row>
    <row r="608" spans="40:56" ht="12" customHeight="1">
      <c r="AN608" t="str">
        <f t="shared" si="18"/>
        <v>41113731588751697</v>
      </c>
      <c r="AO608" t="str">
        <f t="shared" si="19"/>
        <v>4111373101406200</v>
      </c>
      <c r="AP608" s="1758" t="s">
        <v>774</v>
      </c>
      <c r="AQ608" s="1759">
        <v>4111373</v>
      </c>
      <c r="AR608" s="1758" t="s">
        <v>775</v>
      </c>
      <c r="AS608" s="1758">
        <v>4400</v>
      </c>
      <c r="AT608" s="1759">
        <v>4400</v>
      </c>
      <c r="AU608" s="1758">
        <v>1588751697</v>
      </c>
      <c r="AV608" s="1758">
        <v>1588751697</v>
      </c>
      <c r="AW608" s="1758">
        <v>101406200</v>
      </c>
      <c r="AX608" s="1758" t="s">
        <v>775</v>
      </c>
      <c r="AY608" s="1758" t="s">
        <v>775</v>
      </c>
      <c r="AZ608" s="1758" t="s">
        <v>775</v>
      </c>
      <c r="BA608" s="1758" t="s">
        <v>775</v>
      </c>
      <c r="BB608" s="1758" t="s">
        <v>775</v>
      </c>
      <c r="BC608" t="s">
        <v>775</v>
      </c>
      <c r="BD608" t="s">
        <v>775</v>
      </c>
    </row>
    <row r="609" spans="40:56" ht="12" customHeight="1">
      <c r="AN609" t="str">
        <f t="shared" si="18"/>
        <v>41505041326030826</v>
      </c>
      <c r="AO609" t="str">
        <f t="shared" si="19"/>
        <v>4150504100769000</v>
      </c>
      <c r="AP609" s="1758" t="s">
        <v>774</v>
      </c>
      <c r="AQ609" s="1759">
        <v>4150504</v>
      </c>
      <c r="AR609" s="1758" t="s">
        <v>775</v>
      </c>
      <c r="AS609" s="1758">
        <v>12400</v>
      </c>
      <c r="AT609" s="1759">
        <v>12400</v>
      </c>
      <c r="AU609" s="1758">
        <v>1326030826</v>
      </c>
      <c r="AV609" s="1758">
        <v>1326030826</v>
      </c>
      <c r="AW609" s="1758">
        <v>100769000</v>
      </c>
      <c r="AX609" s="1758" t="s">
        <v>775</v>
      </c>
      <c r="AY609" s="1758" t="s">
        <v>775</v>
      </c>
      <c r="AZ609" s="1758" t="s">
        <v>775</v>
      </c>
      <c r="BA609" s="1758" t="s">
        <v>775</v>
      </c>
      <c r="BB609" s="1758" t="s">
        <v>775</v>
      </c>
      <c r="BC609" t="s">
        <v>775</v>
      </c>
      <c r="BD609" t="s">
        <v>775</v>
      </c>
    </row>
    <row r="610" spans="40:56" ht="12" customHeight="1">
      <c r="AN610" t="str">
        <f t="shared" si="18"/>
        <v>41137001265421978</v>
      </c>
      <c r="AO610" t="str">
        <f t="shared" si="19"/>
        <v>4113700100623400</v>
      </c>
      <c r="AP610" s="1758" t="s">
        <v>774</v>
      </c>
      <c r="AQ610" s="1759">
        <v>4113700</v>
      </c>
      <c r="AR610" s="1758" t="s">
        <v>775</v>
      </c>
      <c r="AS610" s="1758">
        <v>40910</v>
      </c>
      <c r="AT610" s="1759">
        <v>40910</v>
      </c>
      <c r="AU610" s="1758">
        <v>1265421978</v>
      </c>
      <c r="AV610" s="1758">
        <v>1265421978</v>
      </c>
      <c r="AW610" s="1758">
        <v>100623400</v>
      </c>
      <c r="AX610" s="1758" t="s">
        <v>775</v>
      </c>
      <c r="AY610" s="1758" t="s">
        <v>775</v>
      </c>
      <c r="AZ610" s="1758" t="s">
        <v>775</v>
      </c>
      <c r="BA610" s="1758" t="s">
        <v>775</v>
      </c>
      <c r="BB610" s="1758" t="s">
        <v>775</v>
      </c>
      <c r="BC610" t="s">
        <v>775</v>
      </c>
      <c r="BD610" t="s">
        <v>775</v>
      </c>
    </row>
    <row r="611" spans="40:56" ht="12" customHeight="1">
      <c r="AN611" t="str">
        <f t="shared" si="18"/>
        <v>41133951568497196</v>
      </c>
      <c r="AO611" t="str">
        <f t="shared" si="19"/>
        <v>4113395108501900</v>
      </c>
      <c r="AP611" s="1758" t="s">
        <v>774</v>
      </c>
      <c r="AQ611" s="1759">
        <v>4113395</v>
      </c>
      <c r="AR611" s="1758" t="s">
        <v>775</v>
      </c>
      <c r="AS611" s="1758">
        <v>16600</v>
      </c>
      <c r="AT611" s="1759">
        <v>16600</v>
      </c>
      <c r="AU611" s="1758">
        <v>1568497196</v>
      </c>
      <c r="AV611" s="1758">
        <v>1568497196</v>
      </c>
      <c r="AW611" s="1758">
        <v>108501900</v>
      </c>
      <c r="AX611" s="1758" t="s">
        <v>775</v>
      </c>
      <c r="AY611" s="1758" t="s">
        <v>775</v>
      </c>
      <c r="AZ611" s="1758" t="s">
        <v>775</v>
      </c>
      <c r="BA611" s="1758" t="s">
        <v>775</v>
      </c>
      <c r="BB611" s="1758" t="s">
        <v>775</v>
      </c>
      <c r="BC611" t="s">
        <v>775</v>
      </c>
      <c r="BD611" t="s">
        <v>775</v>
      </c>
    </row>
    <row r="612" spans="40:56" ht="12" customHeight="1">
      <c r="AN612" t="str">
        <f t="shared" si="18"/>
        <v>41401091578544359</v>
      </c>
      <c r="AO612" t="str">
        <f t="shared" si="19"/>
        <v>4140109104479800</v>
      </c>
      <c r="AP612" s="1758" t="s">
        <v>774</v>
      </c>
      <c r="AQ612" s="1759">
        <v>4140109</v>
      </c>
      <c r="AR612" s="1758" t="s">
        <v>775</v>
      </c>
      <c r="AS612" s="1758">
        <v>7100</v>
      </c>
      <c r="AT612" s="1759">
        <v>7100</v>
      </c>
      <c r="AU612" s="1758">
        <v>1578544359</v>
      </c>
      <c r="AV612" s="1758">
        <v>1578544359</v>
      </c>
      <c r="AW612" s="1758">
        <v>104479800</v>
      </c>
      <c r="AX612" s="1758" t="s">
        <v>775</v>
      </c>
      <c r="AY612" s="1758" t="s">
        <v>775</v>
      </c>
      <c r="AZ612" s="1758" t="s">
        <v>775</v>
      </c>
      <c r="BA612" s="1758" t="s">
        <v>775</v>
      </c>
      <c r="BB612" s="1758" t="s">
        <v>775</v>
      </c>
      <c r="BC612" t="s">
        <v>775</v>
      </c>
      <c r="BD612" t="s">
        <v>775</v>
      </c>
    </row>
    <row r="613" spans="40:56" ht="12" customHeight="1">
      <c r="AN613" t="str">
        <f t="shared" si="18"/>
        <v>41131061316034473</v>
      </c>
      <c r="AO613" t="str">
        <f t="shared" si="19"/>
        <v>4113106100743100</v>
      </c>
      <c r="AP613" s="1758" t="s">
        <v>774</v>
      </c>
      <c r="AQ613" s="1759">
        <v>4113106</v>
      </c>
      <c r="AR613" s="1758" t="s">
        <v>775</v>
      </c>
      <c r="AS613" s="1758">
        <v>3300</v>
      </c>
      <c r="AT613" s="1759">
        <v>3300</v>
      </c>
      <c r="AU613" s="1758">
        <v>1316034473</v>
      </c>
      <c r="AV613" s="1758">
        <v>1316034473</v>
      </c>
      <c r="AW613" s="1758">
        <v>100743100</v>
      </c>
      <c r="AX613" s="1758" t="s">
        <v>775</v>
      </c>
      <c r="AY613" s="1758" t="s">
        <v>775</v>
      </c>
      <c r="AZ613" s="1758" t="s">
        <v>775</v>
      </c>
      <c r="BA613" s="1758" t="s">
        <v>775</v>
      </c>
      <c r="BB613" s="1758" t="s">
        <v>775</v>
      </c>
      <c r="BC613" t="s">
        <v>775</v>
      </c>
      <c r="BD613" t="s">
        <v>775</v>
      </c>
    </row>
    <row r="614" spans="40:56" ht="12" customHeight="1">
      <c r="AN614" t="str">
        <f t="shared" si="18"/>
        <v>41136761770578791</v>
      </c>
      <c r="AO614" t="str">
        <f t="shared" si="19"/>
        <v>4113676101859600</v>
      </c>
      <c r="AP614" s="1758" t="s">
        <v>774</v>
      </c>
      <c r="AQ614" s="1759">
        <v>4113676</v>
      </c>
      <c r="AR614" s="1758" t="s">
        <v>775</v>
      </c>
      <c r="AS614" s="1758">
        <v>5800</v>
      </c>
      <c r="AT614" s="1759">
        <v>5800</v>
      </c>
      <c r="AU614" s="1758">
        <v>1770578791</v>
      </c>
      <c r="AV614" s="1758">
        <v>1770578791</v>
      </c>
      <c r="AW614" s="1758">
        <v>101859600</v>
      </c>
      <c r="AX614" s="1758" t="s">
        <v>775</v>
      </c>
      <c r="AY614" s="1758" t="s">
        <v>775</v>
      </c>
      <c r="AZ614" s="1758" t="s">
        <v>775</v>
      </c>
      <c r="BA614" s="1758" t="s">
        <v>775</v>
      </c>
      <c r="BB614" s="1758" t="s">
        <v>775</v>
      </c>
      <c r="BC614" t="s">
        <v>775</v>
      </c>
      <c r="BD614" t="s">
        <v>775</v>
      </c>
    </row>
    <row r="615" spans="40:56" ht="12" customHeight="1">
      <c r="AN615" t="str">
        <f t="shared" si="18"/>
        <v>41954001336147388</v>
      </c>
      <c r="AO615" t="str">
        <f t="shared" si="19"/>
        <v>4195400100795500</v>
      </c>
      <c r="AP615" s="1758" t="s">
        <v>774</v>
      </c>
      <c r="AQ615" s="1759">
        <v>4195400</v>
      </c>
      <c r="AR615" s="1758" t="s">
        <v>775</v>
      </c>
      <c r="AS615" s="1758">
        <v>15100</v>
      </c>
      <c r="AT615" s="1759">
        <v>15100</v>
      </c>
      <c r="AU615" s="1758">
        <v>1336147388</v>
      </c>
      <c r="AV615" s="1758">
        <v>1336147388</v>
      </c>
      <c r="AW615" s="1758">
        <v>100795500</v>
      </c>
      <c r="AX615" s="1758" t="s">
        <v>775</v>
      </c>
      <c r="AY615" s="1758" t="s">
        <v>775</v>
      </c>
      <c r="AZ615" s="1758" t="s">
        <v>775</v>
      </c>
      <c r="BA615" s="1758" t="s">
        <v>775</v>
      </c>
      <c r="BB615" s="1758" t="s">
        <v>775</v>
      </c>
      <c r="BC615" t="s">
        <v>775</v>
      </c>
      <c r="BD615" t="s">
        <v>775</v>
      </c>
    </row>
    <row r="616" spans="40:56" ht="12" customHeight="1">
      <c r="AN616" t="str">
        <f t="shared" si="18"/>
        <v>41115971306931944</v>
      </c>
      <c r="AO616" t="str">
        <f t="shared" si="19"/>
        <v>4111597100732900</v>
      </c>
      <c r="AP616" s="1758" t="s">
        <v>774</v>
      </c>
      <c r="AQ616" s="1759">
        <v>4111597</v>
      </c>
      <c r="AR616" s="1758" t="s">
        <v>775</v>
      </c>
      <c r="AS616" s="1758">
        <v>17600</v>
      </c>
      <c r="AT616" s="1760">
        <v>17600</v>
      </c>
      <c r="AU616" s="1758">
        <v>1306931944</v>
      </c>
      <c r="AV616" s="1758">
        <v>1306931944</v>
      </c>
      <c r="AW616" s="1758">
        <v>100732900</v>
      </c>
      <c r="AX616" s="1758" t="s">
        <v>775</v>
      </c>
      <c r="AY616" s="1758" t="s">
        <v>775</v>
      </c>
      <c r="AZ616" s="1758" t="s">
        <v>775</v>
      </c>
      <c r="BA616" s="1758" t="s">
        <v>775</v>
      </c>
      <c r="BB616" s="1758" t="s">
        <v>775</v>
      </c>
      <c r="BC616" t="s">
        <v>775</v>
      </c>
      <c r="BD616" t="s">
        <v>775</v>
      </c>
    </row>
    <row r="617" spans="40:56" ht="12" customHeight="1">
      <c r="AN617" t="str">
        <f t="shared" si="18"/>
        <v>41130311265534622</v>
      </c>
      <c r="AO617" t="str">
        <f t="shared" si="19"/>
        <v>4113031100640100</v>
      </c>
      <c r="AP617" s="1758" t="s">
        <v>774</v>
      </c>
      <c r="AQ617" s="1759">
        <v>4113031</v>
      </c>
      <c r="AR617" s="1758" t="s">
        <v>775</v>
      </c>
      <c r="AS617" s="1758">
        <v>17000</v>
      </c>
      <c r="AT617" s="1759">
        <v>17000</v>
      </c>
      <c r="AU617" s="1758">
        <v>1265534622</v>
      </c>
      <c r="AV617" s="1758">
        <v>1265534622</v>
      </c>
      <c r="AW617" s="1758">
        <v>100640100</v>
      </c>
      <c r="AX617" s="1758" t="s">
        <v>775</v>
      </c>
      <c r="AY617" s="1758" t="s">
        <v>775</v>
      </c>
      <c r="AZ617" s="1758" t="s">
        <v>775</v>
      </c>
      <c r="BA617" s="1758" t="s">
        <v>775</v>
      </c>
      <c r="BB617" s="1758" t="s">
        <v>775</v>
      </c>
      <c r="BC617" t="s">
        <v>775</v>
      </c>
      <c r="BD617" t="s">
        <v>775</v>
      </c>
    </row>
    <row r="618" spans="40:56" ht="12" customHeight="1">
      <c r="AN618" t="str">
        <f t="shared" si="18"/>
        <v>41111831578616041</v>
      </c>
      <c r="AO618" t="str">
        <f t="shared" si="19"/>
        <v>4111183101375300</v>
      </c>
      <c r="AP618" s="1758" t="s">
        <v>774</v>
      </c>
      <c r="AQ618" s="1759">
        <v>4111183</v>
      </c>
      <c r="AR618" s="1758" t="s">
        <v>775</v>
      </c>
      <c r="AS618" s="1758">
        <v>20100</v>
      </c>
      <c r="AT618" s="1760">
        <v>20100</v>
      </c>
      <c r="AU618" s="1758">
        <v>1578616041</v>
      </c>
      <c r="AV618" s="1758">
        <v>1578616041</v>
      </c>
      <c r="AW618" s="1758">
        <v>101375300</v>
      </c>
      <c r="AX618" s="1758" t="s">
        <v>775</v>
      </c>
      <c r="AY618" s="1758" t="s">
        <v>775</v>
      </c>
      <c r="AZ618" s="1758" t="s">
        <v>775</v>
      </c>
      <c r="BA618" s="1758" t="s">
        <v>775</v>
      </c>
      <c r="BB618" s="1758" t="s">
        <v>775</v>
      </c>
      <c r="BC618" t="s">
        <v>775</v>
      </c>
      <c r="BD618" t="s">
        <v>775</v>
      </c>
    </row>
    <row r="619" spans="40:56" ht="12" customHeight="1">
      <c r="AN619" t="str">
        <f t="shared" si="18"/>
        <v>41111751962493015</v>
      </c>
      <c r="AO619" t="str">
        <f t="shared" si="19"/>
        <v>4111175102328900</v>
      </c>
      <c r="AP619" s="1758" t="s">
        <v>774</v>
      </c>
      <c r="AQ619" s="1759">
        <v>4111175</v>
      </c>
      <c r="AR619" s="1758" t="s">
        <v>775</v>
      </c>
      <c r="AS619" s="1758">
        <v>20000</v>
      </c>
      <c r="AT619" s="1760">
        <v>20000</v>
      </c>
      <c r="AU619" s="1758">
        <v>1962493015</v>
      </c>
      <c r="AV619" s="1758">
        <v>1962493015</v>
      </c>
      <c r="AW619" s="1758">
        <v>102328900</v>
      </c>
      <c r="AX619" s="1758" t="s">
        <v>775</v>
      </c>
      <c r="AY619" s="1758" t="s">
        <v>775</v>
      </c>
      <c r="AZ619" s="1758" t="s">
        <v>775</v>
      </c>
      <c r="BA619" s="1758" t="s">
        <v>775</v>
      </c>
      <c r="BB619" s="1758" t="s">
        <v>775</v>
      </c>
      <c r="BC619" t="s">
        <v>775</v>
      </c>
      <c r="BD619" t="s">
        <v>775</v>
      </c>
    </row>
    <row r="620" spans="40:56" ht="12" customHeight="1">
      <c r="AN620" t="str">
        <f t="shared" si="18"/>
        <v>4191201NULL</v>
      </c>
      <c r="AO620" t="str">
        <f t="shared" si="19"/>
        <v>4191201NULL</v>
      </c>
      <c r="AP620" s="1758" t="s">
        <v>774</v>
      </c>
      <c r="AQ620" s="1759">
        <v>4191201</v>
      </c>
      <c r="AR620" s="1758" t="s">
        <v>775</v>
      </c>
      <c r="AS620" s="1758">
        <v>100</v>
      </c>
      <c r="AT620" s="1760">
        <v>100</v>
      </c>
      <c r="AU620" s="1758" t="s">
        <v>775</v>
      </c>
      <c r="AV620" s="1758">
        <v>0</v>
      </c>
      <c r="AW620" s="1758" t="s">
        <v>775</v>
      </c>
      <c r="AX620" s="1758" t="s">
        <v>775</v>
      </c>
      <c r="AY620" s="1758" t="s">
        <v>775</v>
      </c>
      <c r="AZ620" s="1758" t="s">
        <v>775</v>
      </c>
      <c r="BA620" s="1758" t="s">
        <v>775</v>
      </c>
      <c r="BB620" s="1758" t="s">
        <v>775</v>
      </c>
      <c r="BC620" t="s">
        <v>775</v>
      </c>
      <c r="BD620" t="s">
        <v>775</v>
      </c>
    </row>
    <row r="621" spans="40:56" ht="12" customHeight="1">
      <c r="AN621" t="str">
        <f t="shared" si="18"/>
        <v>41133201629175963</v>
      </c>
      <c r="AO621" t="str">
        <f t="shared" si="19"/>
        <v>4113320101503400</v>
      </c>
      <c r="AP621" s="1758" t="s">
        <v>774</v>
      </c>
      <c r="AQ621" s="1759">
        <v>4113320</v>
      </c>
      <c r="AR621" s="1758" t="s">
        <v>775</v>
      </c>
      <c r="AS621" s="1758">
        <v>3000</v>
      </c>
      <c r="AT621" s="1760">
        <v>3000</v>
      </c>
      <c r="AU621" s="1758">
        <v>1629175963</v>
      </c>
      <c r="AV621" s="1758">
        <v>1629175963</v>
      </c>
      <c r="AW621" s="1758">
        <v>101503400</v>
      </c>
      <c r="AX621" s="1758" t="s">
        <v>775</v>
      </c>
      <c r="AY621" s="1758" t="s">
        <v>775</v>
      </c>
      <c r="AZ621" s="1758" t="s">
        <v>775</v>
      </c>
      <c r="BA621" s="1758" t="s">
        <v>775</v>
      </c>
      <c r="BB621" s="1758" t="s">
        <v>775</v>
      </c>
      <c r="BC621" t="s">
        <v>775</v>
      </c>
      <c r="BD621" t="s">
        <v>775</v>
      </c>
    </row>
    <row r="622" spans="40:56" ht="12" customHeight="1">
      <c r="AN622" t="str">
        <f t="shared" si="18"/>
        <v>4139408NULL</v>
      </c>
      <c r="AO622" t="str">
        <f t="shared" si="19"/>
        <v>4139408NULL</v>
      </c>
      <c r="AP622" s="1758" t="s">
        <v>774</v>
      </c>
      <c r="AQ622" s="1759">
        <v>4139408</v>
      </c>
      <c r="AR622" s="1758" t="s">
        <v>775</v>
      </c>
      <c r="AS622" s="1758">
        <v>6900</v>
      </c>
      <c r="AT622" s="1760">
        <v>6900</v>
      </c>
      <c r="AU622" s="1758" t="s">
        <v>775</v>
      </c>
      <c r="AV622" s="1758">
        <v>0</v>
      </c>
      <c r="AW622" s="1758" t="s">
        <v>775</v>
      </c>
      <c r="AX622" s="1758" t="s">
        <v>775</v>
      </c>
      <c r="AY622" s="1758" t="s">
        <v>775</v>
      </c>
      <c r="AZ622" s="1758" t="s">
        <v>775</v>
      </c>
      <c r="BA622" s="1758" t="s">
        <v>775</v>
      </c>
      <c r="BB622" s="1758" t="s">
        <v>775</v>
      </c>
      <c r="BC622" t="s">
        <v>775</v>
      </c>
      <c r="BD622" t="s">
        <v>775</v>
      </c>
    </row>
    <row r="623" spans="40:56" ht="12" customHeight="1">
      <c r="AN623" t="str">
        <f t="shared" si="18"/>
        <v>4154100NULL</v>
      </c>
      <c r="AO623" t="str">
        <f t="shared" si="19"/>
        <v>4154100NULL</v>
      </c>
      <c r="AP623" s="1758" t="s">
        <v>774</v>
      </c>
      <c r="AQ623" s="1759">
        <v>4154100</v>
      </c>
      <c r="AR623" s="1758" t="s">
        <v>775</v>
      </c>
      <c r="AS623" s="1758">
        <v>15500</v>
      </c>
      <c r="AT623" s="1760">
        <v>15500</v>
      </c>
      <c r="AU623" s="1758" t="s">
        <v>775</v>
      </c>
      <c r="AV623" s="1758">
        <v>0</v>
      </c>
      <c r="AW623" s="1758" t="s">
        <v>775</v>
      </c>
      <c r="AX623" s="1758" t="s">
        <v>775</v>
      </c>
      <c r="AY623" s="1758" t="s">
        <v>775</v>
      </c>
      <c r="AZ623" s="1758" t="s">
        <v>775</v>
      </c>
      <c r="BA623" s="1758" t="s">
        <v>775</v>
      </c>
      <c r="BB623" s="1758" t="s">
        <v>775</v>
      </c>
      <c r="BC623" t="s">
        <v>775</v>
      </c>
      <c r="BD623" t="s">
        <v>775</v>
      </c>
    </row>
    <row r="624" spans="40:56" ht="12" customHeight="1">
      <c r="AN624" t="str">
        <f t="shared" si="18"/>
        <v>4155107NULL</v>
      </c>
      <c r="AO624" t="str">
        <f t="shared" si="19"/>
        <v>4155107NULL</v>
      </c>
      <c r="AP624" s="1758" t="s">
        <v>774</v>
      </c>
      <c r="AQ624" s="1759">
        <v>4155107</v>
      </c>
      <c r="AR624" s="1758" t="s">
        <v>775</v>
      </c>
      <c r="AS624" s="1758">
        <v>16300</v>
      </c>
      <c r="AT624" s="1760">
        <v>16300</v>
      </c>
      <c r="AU624" s="1758" t="s">
        <v>775</v>
      </c>
      <c r="AV624" s="1758">
        <v>0</v>
      </c>
      <c r="AW624" s="1758" t="s">
        <v>775</v>
      </c>
      <c r="AX624" s="1758" t="s">
        <v>775</v>
      </c>
      <c r="AY624" s="1758" t="s">
        <v>775</v>
      </c>
      <c r="AZ624" s="1758" t="s">
        <v>775</v>
      </c>
      <c r="BA624" s="1758" t="s">
        <v>775</v>
      </c>
      <c r="BB624" s="1758" t="s">
        <v>775</v>
      </c>
      <c r="BC624" t="s">
        <v>775</v>
      </c>
      <c r="BD624" t="s">
        <v>775</v>
      </c>
    </row>
    <row r="625" spans="40:56" ht="12" customHeight="1">
      <c r="AN625" t="str">
        <f t="shared" si="18"/>
        <v>4158309NULL</v>
      </c>
      <c r="AO625" t="str">
        <f t="shared" si="19"/>
        <v>4158309NULL</v>
      </c>
      <c r="AP625" s="1758" t="s">
        <v>774</v>
      </c>
      <c r="AQ625" s="1759">
        <v>4158309</v>
      </c>
      <c r="AR625" s="1758" t="s">
        <v>775</v>
      </c>
      <c r="AS625" s="1758">
        <v>18400</v>
      </c>
      <c r="AT625" s="1760">
        <v>18400</v>
      </c>
      <c r="AU625" s="1758" t="s">
        <v>775</v>
      </c>
      <c r="AV625" s="1758">
        <v>0</v>
      </c>
      <c r="AW625" s="1758" t="s">
        <v>775</v>
      </c>
      <c r="AX625" s="1758" t="s">
        <v>775</v>
      </c>
      <c r="AY625" s="1758" t="s">
        <v>775</v>
      </c>
      <c r="AZ625" s="1758" t="s">
        <v>775</v>
      </c>
      <c r="BA625" s="1758" t="s">
        <v>775</v>
      </c>
      <c r="BB625" s="1758" t="s">
        <v>775</v>
      </c>
      <c r="BC625" t="s">
        <v>775</v>
      </c>
      <c r="BD625" t="s">
        <v>775</v>
      </c>
    </row>
    <row r="626" spans="40:56" ht="12" customHeight="1">
      <c r="AN626" t="str">
        <f t="shared" si="18"/>
        <v>4212338NULL</v>
      </c>
      <c r="AO626" t="str">
        <f t="shared" si="19"/>
        <v>4212338NULL</v>
      </c>
      <c r="AP626" s="1758" t="s">
        <v>774</v>
      </c>
      <c r="AQ626" s="1759">
        <v>4212338</v>
      </c>
      <c r="AR626" s="1758" t="s">
        <v>775</v>
      </c>
      <c r="AS626" s="1758">
        <v>40620</v>
      </c>
      <c r="AT626" s="1760">
        <v>40620</v>
      </c>
      <c r="AU626" s="1758" t="s">
        <v>775</v>
      </c>
      <c r="AV626" s="1758">
        <v>0</v>
      </c>
      <c r="AW626" s="1758" t="s">
        <v>775</v>
      </c>
      <c r="AX626" s="1758" t="s">
        <v>775</v>
      </c>
      <c r="AY626" s="1758" t="s">
        <v>775</v>
      </c>
      <c r="AZ626" s="1758" t="s">
        <v>775</v>
      </c>
      <c r="BA626" s="1758" t="s">
        <v>775</v>
      </c>
      <c r="BB626" s="1758" t="s">
        <v>775</v>
      </c>
      <c r="BC626" t="s">
        <v>775</v>
      </c>
      <c r="BD626" t="s">
        <v>775</v>
      </c>
    </row>
    <row r="627" spans="40:56" ht="12" customHeight="1">
      <c r="AN627" t="str">
        <f t="shared" si="18"/>
        <v>4165403NULL</v>
      </c>
      <c r="AO627" t="str">
        <f t="shared" si="19"/>
        <v>4165403NULL</v>
      </c>
      <c r="AP627" s="1758" t="s">
        <v>774</v>
      </c>
      <c r="AQ627" s="1759">
        <v>4165403</v>
      </c>
      <c r="AR627" s="1758" t="s">
        <v>775</v>
      </c>
      <c r="AS627" s="1758">
        <v>23100</v>
      </c>
      <c r="AT627" s="1760">
        <v>23100</v>
      </c>
      <c r="AU627" s="1758" t="s">
        <v>775</v>
      </c>
      <c r="AV627" s="1758">
        <v>0</v>
      </c>
      <c r="AW627" s="1758" t="s">
        <v>775</v>
      </c>
      <c r="AX627" s="1758" t="s">
        <v>775</v>
      </c>
      <c r="AY627" s="1758" t="s">
        <v>775</v>
      </c>
      <c r="AZ627" s="1758" t="s">
        <v>775</v>
      </c>
      <c r="BA627" s="1758" t="s">
        <v>775</v>
      </c>
      <c r="BB627" s="1758" t="s">
        <v>775</v>
      </c>
      <c r="BC627" t="s">
        <v>775</v>
      </c>
      <c r="BD627" t="s">
        <v>775</v>
      </c>
    </row>
    <row r="628" spans="40:56" ht="12" customHeight="1">
      <c r="AN628" t="str">
        <f t="shared" si="18"/>
        <v>4190005NULL</v>
      </c>
      <c r="AO628" t="str">
        <f t="shared" si="19"/>
        <v>4190005NULL</v>
      </c>
      <c r="AP628" s="1758" t="s">
        <v>774</v>
      </c>
      <c r="AQ628" s="1759">
        <v>4190005</v>
      </c>
      <c r="AR628" s="1758" t="s">
        <v>775</v>
      </c>
      <c r="AS628" s="1758">
        <v>21500</v>
      </c>
      <c r="AT628" s="1760">
        <v>21500</v>
      </c>
      <c r="AU628" s="1758" t="s">
        <v>775</v>
      </c>
      <c r="AV628" s="1758">
        <v>0</v>
      </c>
      <c r="AW628" s="1758" t="s">
        <v>775</v>
      </c>
      <c r="AX628" s="1758" t="s">
        <v>775</v>
      </c>
      <c r="AY628" s="1758" t="s">
        <v>775</v>
      </c>
      <c r="AZ628" s="1758" t="s">
        <v>775</v>
      </c>
      <c r="BA628" s="1758" t="s">
        <v>775</v>
      </c>
      <c r="BB628" s="1758" t="s">
        <v>775</v>
      </c>
      <c r="BC628" t="s">
        <v>775</v>
      </c>
      <c r="BD628" t="s">
        <v>775</v>
      </c>
    </row>
    <row r="629" spans="40:56" ht="12" customHeight="1">
      <c r="AN629" t="str">
        <f t="shared" si="18"/>
        <v>4186102NULL</v>
      </c>
      <c r="AO629" t="str">
        <f t="shared" si="19"/>
        <v>4186102NULL</v>
      </c>
      <c r="AP629" s="1758" t="s">
        <v>774</v>
      </c>
      <c r="AQ629" s="1759">
        <v>4186102</v>
      </c>
      <c r="AR629" s="1758" t="s">
        <v>775</v>
      </c>
      <c r="AS629" s="1758">
        <v>20200</v>
      </c>
      <c r="AT629" s="1759">
        <v>20200</v>
      </c>
      <c r="AU629" s="1758" t="s">
        <v>775</v>
      </c>
      <c r="AV629" s="1758">
        <v>0</v>
      </c>
      <c r="AW629" s="1758" t="s">
        <v>775</v>
      </c>
      <c r="AX629" s="1758" t="s">
        <v>775</v>
      </c>
      <c r="AY629" s="1758" t="s">
        <v>775</v>
      </c>
      <c r="AZ629" s="1758" t="s">
        <v>775</v>
      </c>
      <c r="BA629" s="1758" t="s">
        <v>775</v>
      </c>
      <c r="BB629" s="1758" t="s">
        <v>775</v>
      </c>
      <c r="BC629" t="s">
        <v>775</v>
      </c>
      <c r="BD629" t="s">
        <v>775</v>
      </c>
    </row>
    <row r="630" spans="40:56" ht="12" customHeight="1">
      <c r="AN630" t="str">
        <f t="shared" si="18"/>
        <v>4169702NULL</v>
      </c>
      <c r="AO630" t="str">
        <f t="shared" si="19"/>
        <v>4169702NULL</v>
      </c>
      <c r="AP630" s="1758" t="s">
        <v>774</v>
      </c>
      <c r="AQ630" s="1759">
        <v>4169702</v>
      </c>
      <c r="AR630" s="1758" t="s">
        <v>775</v>
      </c>
      <c r="AS630" s="1758">
        <v>20600</v>
      </c>
      <c r="AT630" s="1759">
        <v>20600</v>
      </c>
      <c r="AU630" s="1758" t="s">
        <v>775</v>
      </c>
      <c r="AV630" s="1758">
        <v>0</v>
      </c>
      <c r="AW630" s="1758" t="s">
        <v>775</v>
      </c>
      <c r="AX630" s="1758" t="s">
        <v>775</v>
      </c>
      <c r="AY630" s="1758" t="s">
        <v>775</v>
      </c>
      <c r="AZ630" s="1758" t="s">
        <v>775</v>
      </c>
      <c r="BA630" s="1758" t="s">
        <v>775</v>
      </c>
      <c r="BB630" s="1758" t="s">
        <v>775</v>
      </c>
      <c r="BC630" t="s">
        <v>775</v>
      </c>
      <c r="BD630" t="s">
        <v>775</v>
      </c>
    </row>
    <row r="631" spans="40:56" ht="12" customHeight="1">
      <c r="AN631" t="str">
        <f t="shared" si="18"/>
        <v>4148508NULL</v>
      </c>
      <c r="AO631" t="str">
        <f t="shared" si="19"/>
        <v>4148508NULL</v>
      </c>
      <c r="AP631" s="1758" t="s">
        <v>774</v>
      </c>
      <c r="AQ631" s="1759">
        <v>4148508</v>
      </c>
      <c r="AR631" s="1758" t="s">
        <v>775</v>
      </c>
      <c r="AS631" s="1758">
        <v>11200</v>
      </c>
      <c r="AT631" s="1759">
        <v>11200</v>
      </c>
      <c r="AU631" s="1758" t="s">
        <v>775</v>
      </c>
      <c r="AV631" s="1758">
        <v>0</v>
      </c>
      <c r="AW631" s="1758" t="s">
        <v>775</v>
      </c>
      <c r="AX631" s="1758" t="s">
        <v>775</v>
      </c>
      <c r="AY631" s="1758" t="s">
        <v>775</v>
      </c>
      <c r="AZ631" s="1758" t="s">
        <v>775</v>
      </c>
      <c r="BA631" s="1758" t="s">
        <v>775</v>
      </c>
      <c r="BB631" s="1758" t="s">
        <v>775</v>
      </c>
      <c r="BC631" t="s">
        <v>775</v>
      </c>
      <c r="BD631" t="s">
        <v>775</v>
      </c>
    </row>
    <row r="632" spans="40:56" ht="12" customHeight="1">
      <c r="AN632" t="str">
        <f t="shared" si="18"/>
        <v>4171203NULL</v>
      </c>
      <c r="AO632" t="str">
        <f t="shared" si="19"/>
        <v>4171203NULL</v>
      </c>
      <c r="AP632" s="1758" t="s">
        <v>774</v>
      </c>
      <c r="AQ632" s="1759">
        <v>4171203</v>
      </c>
      <c r="AR632" s="1758" t="s">
        <v>775</v>
      </c>
      <c r="AS632" s="1758">
        <v>13100</v>
      </c>
      <c r="AT632" s="1759">
        <v>13100</v>
      </c>
      <c r="AU632" s="1758" t="s">
        <v>775</v>
      </c>
      <c r="AV632" s="1758">
        <v>0</v>
      </c>
      <c r="AW632" s="1758" t="s">
        <v>775</v>
      </c>
      <c r="AX632" s="1758" t="s">
        <v>775</v>
      </c>
      <c r="AY632" s="1758" t="s">
        <v>775</v>
      </c>
      <c r="AZ632" s="1758" t="s">
        <v>775</v>
      </c>
      <c r="BA632" s="1758" t="s">
        <v>775</v>
      </c>
      <c r="BB632" s="1758" t="s">
        <v>775</v>
      </c>
      <c r="BC632" t="s">
        <v>775</v>
      </c>
      <c r="BD632" t="s">
        <v>775</v>
      </c>
    </row>
    <row r="633" spans="40:56" ht="12" customHeight="1">
      <c r="AN633" t="str">
        <f t="shared" si="18"/>
        <v>41677061326030834</v>
      </c>
      <c r="AO633" t="str">
        <f t="shared" si="19"/>
        <v>4167706100769100</v>
      </c>
      <c r="AP633" s="1758" t="s">
        <v>774</v>
      </c>
      <c r="AQ633" s="1759">
        <v>4167706</v>
      </c>
      <c r="AR633" s="1758" t="s">
        <v>775</v>
      </c>
      <c r="AS633" s="1758">
        <v>25000</v>
      </c>
      <c r="AT633" s="1759">
        <v>25000</v>
      </c>
      <c r="AU633" s="1758">
        <v>1326030834</v>
      </c>
      <c r="AV633" s="1758">
        <v>1326030834</v>
      </c>
      <c r="AW633" s="1758">
        <v>100769100</v>
      </c>
      <c r="AX633" s="1758" t="s">
        <v>775</v>
      </c>
      <c r="AY633" s="1758" t="s">
        <v>775</v>
      </c>
      <c r="AZ633" s="1758" t="s">
        <v>775</v>
      </c>
      <c r="BA633" s="1758" t="s">
        <v>775</v>
      </c>
      <c r="BB633" s="1758" t="s">
        <v>775</v>
      </c>
      <c r="BC633" t="s">
        <v>775</v>
      </c>
      <c r="BD633" t="s">
        <v>775</v>
      </c>
    </row>
    <row r="634" spans="40:56" ht="12" customHeight="1">
      <c r="AN634" t="str">
        <f t="shared" si="18"/>
        <v>411527101568858090</v>
      </c>
      <c r="AO634" t="str">
        <f t="shared" si="19"/>
        <v>41152710204571300</v>
      </c>
      <c r="AP634" s="1758" t="s">
        <v>774</v>
      </c>
      <c r="AQ634" s="1759">
        <v>41152710</v>
      </c>
      <c r="AR634" s="1758" t="s">
        <v>775</v>
      </c>
      <c r="AS634" s="1758">
        <v>31550</v>
      </c>
      <c r="AT634" s="1759">
        <v>31550</v>
      </c>
      <c r="AU634" s="1758">
        <v>1568858090</v>
      </c>
      <c r="AV634" s="1758">
        <v>1568858090</v>
      </c>
      <c r="AW634" s="1758">
        <v>204571300</v>
      </c>
      <c r="AX634" s="1758" t="s">
        <v>775</v>
      </c>
      <c r="AY634" s="1758" t="s">
        <v>775</v>
      </c>
      <c r="AZ634" s="1758" t="s">
        <v>775</v>
      </c>
      <c r="BA634" s="1758" t="s">
        <v>775</v>
      </c>
      <c r="BB634" s="1758" t="s">
        <v>775</v>
      </c>
      <c r="BC634" t="s">
        <v>775</v>
      </c>
      <c r="BD634" t="s">
        <v>775</v>
      </c>
    </row>
    <row r="635" spans="40:56" ht="12" customHeight="1">
      <c r="AN635" t="str">
        <f t="shared" si="18"/>
        <v>41153811962869461</v>
      </c>
      <c r="AO635" t="str">
        <f t="shared" si="19"/>
        <v>4115381207195800</v>
      </c>
      <c r="AP635" s="1758" t="s">
        <v>774</v>
      </c>
      <c r="AQ635" s="1759">
        <v>4115381</v>
      </c>
      <c r="AR635" s="1758" t="s">
        <v>775</v>
      </c>
      <c r="AS635" s="1758">
        <v>41112</v>
      </c>
      <c r="AT635" s="1759">
        <v>41112</v>
      </c>
      <c r="AU635" s="1758">
        <v>1962869461</v>
      </c>
      <c r="AV635" s="1758">
        <v>1962869461</v>
      </c>
      <c r="AW635" s="1758">
        <v>207195800</v>
      </c>
      <c r="AX635" s="1758" t="s">
        <v>775</v>
      </c>
      <c r="AY635" s="1758" t="s">
        <v>775</v>
      </c>
      <c r="AZ635" s="1758" t="s">
        <v>775</v>
      </c>
      <c r="BA635" s="1758" t="s">
        <v>775</v>
      </c>
      <c r="BB635" s="1758" t="s">
        <v>775</v>
      </c>
      <c r="BC635" t="s">
        <v>775</v>
      </c>
      <c r="BD635" t="s">
        <v>775</v>
      </c>
    </row>
    <row r="636" spans="40:56" ht="12" customHeight="1">
      <c r="AN636" t="str">
        <f t="shared" si="18"/>
        <v>41152711568858090</v>
      </c>
      <c r="AO636" t="str">
        <f t="shared" si="19"/>
        <v>4115271206943400</v>
      </c>
      <c r="AP636" s="1758" t="s">
        <v>904</v>
      </c>
      <c r="AQ636" s="1759">
        <v>4115271</v>
      </c>
      <c r="AR636" s="1758" t="s">
        <v>775</v>
      </c>
      <c r="AS636" s="1758">
        <v>31550</v>
      </c>
      <c r="AT636" s="1759">
        <v>31550</v>
      </c>
      <c r="AU636" s="1758">
        <v>1568858090</v>
      </c>
      <c r="AV636" s="1758">
        <v>1568858090</v>
      </c>
      <c r="AW636" s="1758">
        <v>206943400</v>
      </c>
      <c r="AX636" s="1758" t="s">
        <v>775</v>
      </c>
      <c r="AY636" s="1758" t="s">
        <v>775</v>
      </c>
      <c r="AZ636" s="1758" t="s">
        <v>775</v>
      </c>
      <c r="BA636" s="1758" t="s">
        <v>775</v>
      </c>
      <c r="BB636" s="1758" t="s">
        <v>775</v>
      </c>
      <c r="BC636" t="s">
        <v>775</v>
      </c>
      <c r="BD636" t="s">
        <v>775</v>
      </c>
    </row>
    <row r="637" spans="40:56" ht="12" customHeight="1">
      <c r="AN637" t="str">
        <f t="shared" si="18"/>
        <v>41115711780756130</v>
      </c>
      <c r="AO637" t="str">
        <f t="shared" si="19"/>
        <v>4111571104564400</v>
      </c>
      <c r="AP637" s="1758" t="s">
        <v>774</v>
      </c>
      <c r="AQ637" s="1759">
        <v>4111571</v>
      </c>
      <c r="AR637" s="1758" t="s">
        <v>775</v>
      </c>
      <c r="AS637" s="1758">
        <v>13700</v>
      </c>
      <c r="AT637" s="1759">
        <v>13700</v>
      </c>
      <c r="AU637" s="1758">
        <v>1780756130</v>
      </c>
      <c r="AV637" s="1758">
        <v>1780756130</v>
      </c>
      <c r="AW637" s="1758">
        <v>104564400</v>
      </c>
      <c r="AX637" s="1758" t="s">
        <v>775</v>
      </c>
      <c r="AY637" s="1758" t="s">
        <v>775</v>
      </c>
      <c r="AZ637" s="1758" t="s">
        <v>775</v>
      </c>
      <c r="BA637" s="1758" t="s">
        <v>775</v>
      </c>
      <c r="BB637" s="1758" t="s">
        <v>775</v>
      </c>
      <c r="BC637" t="s">
        <v>775</v>
      </c>
      <c r="BD637" t="s">
        <v>775</v>
      </c>
    </row>
    <row r="638" spans="40:56" ht="12" customHeight="1">
      <c r="AN638" t="str">
        <f t="shared" si="18"/>
        <v>41735061629140009</v>
      </c>
      <c r="AO638" t="str">
        <f t="shared" si="19"/>
        <v>4173506104499700</v>
      </c>
      <c r="AP638" s="1758" t="s">
        <v>774</v>
      </c>
      <c r="AQ638" s="1759">
        <v>4173506</v>
      </c>
      <c r="AR638" s="1758" t="s">
        <v>775</v>
      </c>
      <c r="AS638" s="1758">
        <v>16400</v>
      </c>
      <c r="AT638" s="1759">
        <v>16400</v>
      </c>
      <c r="AU638" s="1758">
        <v>1629140009</v>
      </c>
      <c r="AV638" s="1758">
        <v>1629140009</v>
      </c>
      <c r="AW638" s="1758">
        <v>104499700</v>
      </c>
      <c r="AX638" s="1758" t="s">
        <v>775</v>
      </c>
      <c r="AY638" s="1758" t="s">
        <v>775</v>
      </c>
      <c r="AZ638" s="1758" t="s">
        <v>775</v>
      </c>
      <c r="BA638" s="1758" t="s">
        <v>775</v>
      </c>
      <c r="BB638" s="1758" t="s">
        <v>775</v>
      </c>
      <c r="BC638" t="s">
        <v>775</v>
      </c>
      <c r="BD638" t="s">
        <v>775</v>
      </c>
    </row>
    <row r="639" spans="40:56" ht="12" customHeight="1">
      <c r="AN639" t="str">
        <f t="shared" si="18"/>
        <v>41115891780756932</v>
      </c>
      <c r="AO639" t="str">
        <f t="shared" si="19"/>
        <v>4111589104564500</v>
      </c>
      <c r="AP639" s="1758" t="s">
        <v>774</v>
      </c>
      <c r="AQ639" s="1759">
        <v>4111589</v>
      </c>
      <c r="AR639" s="1758" t="s">
        <v>775</v>
      </c>
      <c r="AS639" s="1758">
        <v>24400</v>
      </c>
      <c r="AT639" s="1759">
        <v>24400</v>
      </c>
      <c r="AU639" s="1758">
        <v>1780756932</v>
      </c>
      <c r="AV639" s="1758">
        <v>1780756932</v>
      </c>
      <c r="AW639" s="1758">
        <v>104564500</v>
      </c>
      <c r="AX639" s="1758" t="s">
        <v>775</v>
      </c>
      <c r="AY639" s="1758" t="s">
        <v>775</v>
      </c>
      <c r="AZ639" s="1758" t="s">
        <v>775</v>
      </c>
      <c r="BA639" s="1758" t="s">
        <v>775</v>
      </c>
      <c r="BB639" s="1758" t="s">
        <v>775</v>
      </c>
      <c r="BC639" t="s">
        <v>775</v>
      </c>
      <c r="BD639" t="s">
        <v>775</v>
      </c>
    </row>
    <row r="640" spans="40:56" ht="12" customHeight="1">
      <c r="AN640" t="str">
        <f t="shared" si="18"/>
        <v>41952021326119017</v>
      </c>
      <c r="AO640" t="str">
        <f t="shared" si="19"/>
        <v>4195202104373700</v>
      </c>
      <c r="AP640" s="1758" t="s">
        <v>774</v>
      </c>
      <c r="AQ640" s="1759">
        <v>4195202</v>
      </c>
      <c r="AR640" s="1758" t="s">
        <v>775</v>
      </c>
      <c r="AS640" s="1758">
        <v>13900</v>
      </c>
      <c r="AT640" s="1759">
        <v>13900</v>
      </c>
      <c r="AU640" s="1758">
        <v>1326119017</v>
      </c>
      <c r="AV640" s="1758">
        <v>1326119017</v>
      </c>
      <c r="AW640" s="1758">
        <v>104373700</v>
      </c>
      <c r="AX640" s="1758" t="s">
        <v>775</v>
      </c>
      <c r="AY640" s="1758" t="s">
        <v>775</v>
      </c>
      <c r="AZ640" s="1758" t="s">
        <v>775</v>
      </c>
      <c r="BA640" s="1758" t="s">
        <v>775</v>
      </c>
      <c r="BB640" s="1758" t="s">
        <v>775</v>
      </c>
      <c r="BC640" t="s">
        <v>775</v>
      </c>
      <c r="BD640" t="s">
        <v>775</v>
      </c>
    </row>
    <row r="641" spans="40:56" ht="12" customHeight="1">
      <c r="AN641" t="str">
        <f t="shared" si="18"/>
        <v>41947001336210053</v>
      </c>
      <c r="AO641" t="str">
        <f t="shared" si="19"/>
        <v>4194700104377700</v>
      </c>
      <c r="AP641" s="1758" t="s">
        <v>774</v>
      </c>
      <c r="AQ641" s="1759">
        <v>4194700</v>
      </c>
      <c r="AR641" s="1758" t="s">
        <v>775</v>
      </c>
      <c r="AS641" s="1758">
        <v>15200</v>
      </c>
      <c r="AT641" s="1759">
        <v>15200</v>
      </c>
      <c r="AU641" s="1758">
        <v>1336210053</v>
      </c>
      <c r="AV641" s="1758">
        <v>1336210053</v>
      </c>
      <c r="AW641" s="1758">
        <v>104377700</v>
      </c>
      <c r="AX641" s="1758" t="s">
        <v>775</v>
      </c>
      <c r="AY641" s="1758" t="s">
        <v>775</v>
      </c>
      <c r="AZ641" s="1758" t="s">
        <v>775</v>
      </c>
      <c r="BA641" s="1758" t="s">
        <v>775</v>
      </c>
      <c r="BB641" s="1758" t="s">
        <v>775</v>
      </c>
      <c r="BC641" t="s">
        <v>775</v>
      </c>
      <c r="BD641" t="s">
        <v>775</v>
      </c>
    </row>
    <row r="642" spans="40:56" ht="12" customHeight="1">
      <c r="AN642" t="str">
        <f t="shared" si="18"/>
        <v>41101101861565608</v>
      </c>
      <c r="AO642" t="str">
        <f t="shared" si="19"/>
        <v>4110110104597600</v>
      </c>
      <c r="AP642" s="1758" t="s">
        <v>774</v>
      </c>
      <c r="AQ642" s="1759">
        <v>4110110</v>
      </c>
      <c r="AR642" s="1758" t="s">
        <v>775</v>
      </c>
      <c r="AS642" s="1758">
        <v>23300</v>
      </c>
      <c r="AT642" s="1759">
        <v>23300</v>
      </c>
      <c r="AU642" s="1758">
        <v>1861565608</v>
      </c>
      <c r="AV642" s="1758">
        <v>1861565608</v>
      </c>
      <c r="AW642" s="1758">
        <v>104597600</v>
      </c>
      <c r="AX642" s="1758" t="s">
        <v>775</v>
      </c>
      <c r="AY642" s="1758" t="s">
        <v>775</v>
      </c>
      <c r="AZ642" s="1758" t="s">
        <v>775</v>
      </c>
      <c r="BA642" s="1758" t="s">
        <v>775</v>
      </c>
      <c r="BB642" s="1758" t="s">
        <v>775</v>
      </c>
      <c r="BC642" t="s">
        <v>775</v>
      </c>
      <c r="BD642" t="s">
        <v>775</v>
      </c>
    </row>
    <row r="643" spans="40:56" ht="12" customHeight="1">
      <c r="AN643" t="str">
        <f t="shared" si="18"/>
        <v>41100451811061518</v>
      </c>
      <c r="AO643" t="str">
        <f t="shared" si="19"/>
        <v>4110045104574400</v>
      </c>
      <c r="AP643" s="1758" t="s">
        <v>774</v>
      </c>
      <c r="AQ643" s="1759">
        <v>4110045</v>
      </c>
      <c r="AR643" s="1758" t="s">
        <v>775</v>
      </c>
      <c r="AS643" s="1758">
        <v>16006</v>
      </c>
      <c r="AT643" s="1759">
        <v>16006</v>
      </c>
      <c r="AU643" s="1758">
        <v>1811061518</v>
      </c>
      <c r="AV643" s="1758">
        <v>1811061518</v>
      </c>
      <c r="AW643" s="1758">
        <v>104574400</v>
      </c>
      <c r="AX643" s="1758" t="s">
        <v>775</v>
      </c>
      <c r="AY643" s="1758" t="s">
        <v>775</v>
      </c>
      <c r="AZ643" s="1758" t="s">
        <v>775</v>
      </c>
      <c r="BA643" s="1758" t="s">
        <v>775</v>
      </c>
      <c r="BB643" s="1758" t="s">
        <v>775</v>
      </c>
      <c r="BC643" t="s">
        <v>775</v>
      </c>
      <c r="BD643" t="s">
        <v>775</v>
      </c>
    </row>
    <row r="644" spans="40:56" ht="12" customHeight="1">
      <c r="AN644" t="str">
        <f t="shared" si="18"/>
        <v>41100941114091733</v>
      </c>
      <c r="AO644" t="str">
        <f t="shared" si="19"/>
        <v>4110094104291200</v>
      </c>
      <c r="AP644" s="1758" t="s">
        <v>774</v>
      </c>
      <c r="AQ644" s="1759">
        <v>4110094</v>
      </c>
      <c r="AR644" s="1758" t="s">
        <v>987</v>
      </c>
      <c r="AS644" s="1758">
        <v>12500</v>
      </c>
      <c r="AT644" s="1759">
        <v>12500</v>
      </c>
      <c r="AU644" s="1758">
        <v>1114091733</v>
      </c>
      <c r="AV644" s="1758">
        <v>1114091733</v>
      </c>
      <c r="AW644" s="1758">
        <v>104291200</v>
      </c>
      <c r="AX644" s="1758" t="s">
        <v>775</v>
      </c>
      <c r="AY644" s="1758" t="s">
        <v>775</v>
      </c>
      <c r="AZ644" s="1758" t="s">
        <v>775</v>
      </c>
      <c r="BA644" s="1758" t="s">
        <v>775</v>
      </c>
      <c r="BB644" s="1758" t="s">
        <v>775</v>
      </c>
      <c r="BC644" t="s">
        <v>775</v>
      </c>
      <c r="BD644" t="s">
        <v>775</v>
      </c>
    </row>
    <row r="645" spans="40:56" ht="12" customHeight="1">
      <c r="AN645" t="str">
        <f aca="true" t="shared" si="20" ref="AN645:AN708">AQ645&amp;AU645</f>
        <v>41944031962575191</v>
      </c>
      <c r="AO645" t="str">
        <f aca="true" t="shared" si="21" ref="AO645:AO708">AQ645&amp;AW645</f>
        <v>4194403104640200</v>
      </c>
      <c r="AP645" s="1758" t="s">
        <v>774</v>
      </c>
      <c r="AQ645" s="1759">
        <v>4194403</v>
      </c>
      <c r="AR645" s="1758" t="s">
        <v>775</v>
      </c>
      <c r="AS645" s="1758">
        <v>21300</v>
      </c>
      <c r="AT645" s="1759">
        <v>21300</v>
      </c>
      <c r="AU645" s="1758">
        <v>1962575191</v>
      </c>
      <c r="AV645" s="1758">
        <v>1962575191</v>
      </c>
      <c r="AW645" s="1758">
        <v>104640200</v>
      </c>
      <c r="AX645" s="1758" t="s">
        <v>775</v>
      </c>
      <c r="AY645" s="1758" t="s">
        <v>775</v>
      </c>
      <c r="AZ645" s="1758" t="s">
        <v>775</v>
      </c>
      <c r="BA645" s="1758" t="s">
        <v>775</v>
      </c>
      <c r="BB645" s="1758" t="s">
        <v>775</v>
      </c>
      <c r="BC645" t="s">
        <v>775</v>
      </c>
      <c r="BD645" t="s">
        <v>775</v>
      </c>
    </row>
    <row r="646" spans="40:56" ht="12" customHeight="1">
      <c r="AN646" t="str">
        <f t="shared" si="20"/>
        <v>41101021629142294</v>
      </c>
      <c r="AO646" t="str">
        <f t="shared" si="21"/>
        <v>4110102104499800</v>
      </c>
      <c r="AP646" s="1758" t="s">
        <v>774</v>
      </c>
      <c r="AQ646" s="1759">
        <v>4110102</v>
      </c>
      <c r="AR646" s="1758" t="s">
        <v>775</v>
      </c>
      <c r="AS646" s="1758">
        <v>31510</v>
      </c>
      <c r="AT646" s="1759">
        <v>31510</v>
      </c>
      <c r="AU646" s="1758">
        <v>1629142294</v>
      </c>
      <c r="AV646" s="1758">
        <v>1629142294</v>
      </c>
      <c r="AW646" s="1758">
        <v>104499800</v>
      </c>
      <c r="AX646" s="1758" t="s">
        <v>775</v>
      </c>
      <c r="AY646" s="1758" t="s">
        <v>775</v>
      </c>
      <c r="AZ646" s="1758" t="s">
        <v>775</v>
      </c>
      <c r="BA646" s="1758" t="s">
        <v>775</v>
      </c>
      <c r="BB646" s="1758" t="s">
        <v>775</v>
      </c>
      <c r="BC646" t="s">
        <v>775</v>
      </c>
      <c r="BD646" t="s">
        <v>775</v>
      </c>
    </row>
    <row r="647" spans="40:56" ht="12" customHeight="1">
      <c r="AN647" t="str">
        <f t="shared" si="20"/>
        <v>41100861841363967</v>
      </c>
      <c r="AO647" t="str">
        <f t="shared" si="21"/>
        <v>4110086104590300</v>
      </c>
      <c r="AP647" s="1758" t="s">
        <v>774</v>
      </c>
      <c r="AQ647" s="1759">
        <v>4110086</v>
      </c>
      <c r="AR647" s="1758" t="s">
        <v>775</v>
      </c>
      <c r="AS647" s="1758">
        <v>17800</v>
      </c>
      <c r="AT647" s="1759">
        <v>17800</v>
      </c>
      <c r="AU647" s="1758">
        <v>1841363967</v>
      </c>
      <c r="AV647" s="1758">
        <v>1841363967</v>
      </c>
      <c r="AW647" s="1758">
        <v>104590300</v>
      </c>
      <c r="AX647" s="1758" t="s">
        <v>775</v>
      </c>
      <c r="AY647" s="1758" t="s">
        <v>775</v>
      </c>
      <c r="AZ647" s="1758" t="s">
        <v>775</v>
      </c>
      <c r="BA647" s="1758" t="s">
        <v>775</v>
      </c>
      <c r="BB647" s="1758" t="s">
        <v>775</v>
      </c>
      <c r="BC647" t="s">
        <v>775</v>
      </c>
      <c r="BD647" t="s">
        <v>775</v>
      </c>
    </row>
    <row r="648" spans="40:56" ht="12" customHeight="1">
      <c r="AN648" t="str">
        <f t="shared" si="20"/>
        <v>41141201780759977</v>
      </c>
      <c r="AO648" t="str">
        <f t="shared" si="21"/>
        <v>4114120104564600</v>
      </c>
      <c r="AP648" s="1758" t="s">
        <v>774</v>
      </c>
      <c r="AQ648" s="1759">
        <v>4114120</v>
      </c>
      <c r="AR648" s="1758" t="s">
        <v>775</v>
      </c>
      <c r="AS648" s="1758">
        <v>40930</v>
      </c>
      <c r="AT648" s="1759">
        <v>40930</v>
      </c>
      <c r="AU648" s="1758">
        <v>1780759977</v>
      </c>
      <c r="AV648" s="1758">
        <v>1780759977</v>
      </c>
      <c r="AW648" s="1758">
        <v>104564600</v>
      </c>
      <c r="AX648" s="1758" t="s">
        <v>775</v>
      </c>
      <c r="AY648" s="1758" t="s">
        <v>775</v>
      </c>
      <c r="AZ648" s="1758" t="s">
        <v>775</v>
      </c>
      <c r="BA648" s="1758" t="s">
        <v>775</v>
      </c>
      <c r="BB648" s="1758" t="s">
        <v>775</v>
      </c>
      <c r="BC648" t="s">
        <v>775</v>
      </c>
      <c r="BD648" t="s">
        <v>775</v>
      </c>
    </row>
    <row r="649" spans="40:56" ht="12" customHeight="1">
      <c r="AN649" t="str">
        <f t="shared" si="20"/>
        <v>41116881417029885</v>
      </c>
      <c r="AO649" t="str">
        <f t="shared" si="21"/>
        <v>4111688104410300</v>
      </c>
      <c r="AP649" s="1758" t="s">
        <v>774</v>
      </c>
      <c r="AQ649" s="1759">
        <v>4111688</v>
      </c>
      <c r="AR649" s="1758" t="s">
        <v>775</v>
      </c>
      <c r="AS649" s="1758">
        <v>21800</v>
      </c>
      <c r="AT649" s="1759">
        <v>21800</v>
      </c>
      <c r="AU649" s="1758">
        <v>1417029885</v>
      </c>
      <c r="AV649" s="1758">
        <v>1417029885</v>
      </c>
      <c r="AW649" s="1758">
        <v>104410300</v>
      </c>
      <c r="AX649" s="1758" t="s">
        <v>775</v>
      </c>
      <c r="AY649" s="1758" t="s">
        <v>775</v>
      </c>
      <c r="AZ649" s="1758" t="s">
        <v>775</v>
      </c>
      <c r="BA649" s="1758" t="s">
        <v>775</v>
      </c>
      <c r="BB649" s="1758" t="s">
        <v>775</v>
      </c>
      <c r="BC649" t="s">
        <v>775</v>
      </c>
      <c r="BD649" t="s">
        <v>775</v>
      </c>
    </row>
    <row r="650" spans="40:56" ht="12" customHeight="1">
      <c r="AN650" t="str">
        <f t="shared" si="20"/>
        <v>41970001952475485</v>
      </c>
      <c r="AO650" t="str">
        <f t="shared" si="21"/>
        <v>4197000104636300</v>
      </c>
      <c r="AP650" s="1758" t="s">
        <v>774</v>
      </c>
      <c r="AQ650" s="1759">
        <v>4197000</v>
      </c>
      <c r="AR650" s="1758" t="s">
        <v>775</v>
      </c>
      <c r="AS650" s="1758">
        <v>18200</v>
      </c>
      <c r="AT650" s="1759">
        <v>18200</v>
      </c>
      <c r="AU650" s="1758">
        <v>1952475485</v>
      </c>
      <c r="AV650" s="1758">
        <v>1952475485</v>
      </c>
      <c r="AW650" s="1758">
        <v>104636300</v>
      </c>
      <c r="AX650" s="1758" t="s">
        <v>775</v>
      </c>
      <c r="AY650" s="1758" t="s">
        <v>775</v>
      </c>
      <c r="AZ650" s="1758" t="s">
        <v>775</v>
      </c>
      <c r="BA650" s="1758" t="s">
        <v>775</v>
      </c>
      <c r="BB650" s="1758" t="s">
        <v>775</v>
      </c>
      <c r="BC650" t="s">
        <v>775</v>
      </c>
      <c r="BD650" t="s">
        <v>775</v>
      </c>
    </row>
    <row r="651" spans="40:56" ht="12" customHeight="1">
      <c r="AN651" t="str">
        <f t="shared" si="20"/>
        <v>41128191073567277</v>
      </c>
      <c r="AO651" t="str">
        <f t="shared" si="21"/>
        <v>4112819104274000</v>
      </c>
      <c r="AP651" s="1758" t="s">
        <v>774</v>
      </c>
      <c r="AQ651" s="1759">
        <v>4112819</v>
      </c>
      <c r="AR651" s="1758" t="s">
        <v>775</v>
      </c>
      <c r="AS651" s="1758">
        <v>40470</v>
      </c>
      <c r="AT651" s="1760">
        <v>40470</v>
      </c>
      <c r="AU651" s="1758">
        <v>1073567277</v>
      </c>
      <c r="AV651" s="1758">
        <v>1073567277</v>
      </c>
      <c r="AW651" s="1758">
        <v>104274000</v>
      </c>
      <c r="AX651" s="1758" t="s">
        <v>775</v>
      </c>
      <c r="AY651" s="1758" t="s">
        <v>775</v>
      </c>
      <c r="AZ651" s="1758" t="s">
        <v>775</v>
      </c>
      <c r="BA651" s="1758" t="s">
        <v>775</v>
      </c>
      <c r="BB651" s="1758" t="s">
        <v>775</v>
      </c>
      <c r="BC651" t="s">
        <v>775</v>
      </c>
      <c r="BD651" t="s">
        <v>775</v>
      </c>
    </row>
    <row r="652" spans="40:56" ht="12" customHeight="1">
      <c r="AN652" t="str">
        <f t="shared" si="20"/>
        <v>41138411700872066</v>
      </c>
      <c r="AO652" t="str">
        <f t="shared" si="21"/>
        <v>4113841101686200</v>
      </c>
      <c r="AP652" s="1758" t="s">
        <v>774</v>
      </c>
      <c r="AQ652" s="1759">
        <v>4113841</v>
      </c>
      <c r="AR652" s="1758" t="s">
        <v>775</v>
      </c>
      <c r="AS652" s="1758">
        <v>9300</v>
      </c>
      <c r="AT652" s="1760">
        <v>9300</v>
      </c>
      <c r="AU652" s="1758">
        <v>1700872066</v>
      </c>
      <c r="AV652" s="1758">
        <v>1700872066</v>
      </c>
      <c r="AW652" s="1758">
        <v>101686200</v>
      </c>
      <c r="AX652" s="1758" t="s">
        <v>775</v>
      </c>
      <c r="AY652" s="1758" t="s">
        <v>775</v>
      </c>
      <c r="AZ652" s="1758" t="s">
        <v>775</v>
      </c>
      <c r="BA652" s="1758" t="s">
        <v>775</v>
      </c>
      <c r="BB652" s="1758" t="s">
        <v>775</v>
      </c>
      <c r="BC652" t="s">
        <v>775</v>
      </c>
      <c r="BD652" t="s">
        <v>775</v>
      </c>
    </row>
    <row r="653" spans="40:56" ht="12" customHeight="1">
      <c r="AN653" t="str">
        <f t="shared" si="20"/>
        <v>41144011306834627</v>
      </c>
      <c r="AO653" t="str">
        <f t="shared" si="21"/>
        <v>4114401100719700</v>
      </c>
      <c r="AP653" s="1758" t="s">
        <v>774</v>
      </c>
      <c r="AQ653" s="1759">
        <v>4114401</v>
      </c>
      <c r="AR653" s="1758" t="s">
        <v>775</v>
      </c>
      <c r="AS653" s="1758">
        <v>40970</v>
      </c>
      <c r="AT653" s="1760">
        <v>40970</v>
      </c>
      <c r="AU653" s="1758">
        <v>1306834627</v>
      </c>
      <c r="AV653" s="1758">
        <v>1306834627</v>
      </c>
      <c r="AW653" s="1758">
        <v>100719700</v>
      </c>
      <c r="AX653" s="1758" t="s">
        <v>775</v>
      </c>
      <c r="AY653" s="1758" t="s">
        <v>775</v>
      </c>
      <c r="AZ653" s="1758" t="s">
        <v>775</v>
      </c>
      <c r="BA653" s="1758" t="s">
        <v>775</v>
      </c>
      <c r="BB653" s="1758" t="s">
        <v>775</v>
      </c>
      <c r="BC653" t="s">
        <v>775</v>
      </c>
      <c r="BD653" t="s">
        <v>775</v>
      </c>
    </row>
    <row r="654" spans="40:56" ht="12" customHeight="1">
      <c r="AN654" t="str">
        <f t="shared" si="20"/>
        <v>41957071437214970</v>
      </c>
      <c r="AO654" t="str">
        <f t="shared" si="21"/>
        <v>4195707101040700</v>
      </c>
      <c r="AP654" s="1758" t="s">
        <v>774</v>
      </c>
      <c r="AQ654" s="1759">
        <v>4195707</v>
      </c>
      <c r="AR654" s="1758" t="s">
        <v>775</v>
      </c>
      <c r="AS654" s="1758">
        <v>35330</v>
      </c>
      <c r="AT654" s="1760">
        <v>35330</v>
      </c>
      <c r="AU654" s="1758">
        <v>1437214970</v>
      </c>
      <c r="AV654" s="1758">
        <v>1437214970</v>
      </c>
      <c r="AW654" s="1758">
        <v>101040700</v>
      </c>
      <c r="AX654" s="1758" t="s">
        <v>775</v>
      </c>
      <c r="AY654" s="1758" t="s">
        <v>775</v>
      </c>
      <c r="AZ654" s="1758" t="s">
        <v>775</v>
      </c>
      <c r="BA654" s="1758" t="s">
        <v>775</v>
      </c>
      <c r="BB654" s="1758" t="s">
        <v>775</v>
      </c>
      <c r="BC654" t="s">
        <v>775</v>
      </c>
      <c r="BD654" t="s">
        <v>775</v>
      </c>
    </row>
    <row r="655" spans="40:56" ht="12" customHeight="1">
      <c r="AN655" t="str">
        <f t="shared" si="20"/>
        <v>4171401NULL</v>
      </c>
      <c r="AO655" t="str">
        <f t="shared" si="21"/>
        <v>4171401NULL</v>
      </c>
      <c r="AP655" s="1758" t="s">
        <v>774</v>
      </c>
      <c r="AQ655" s="1759">
        <v>4171401</v>
      </c>
      <c r="AR655" s="1758" t="s">
        <v>775</v>
      </c>
      <c r="AS655" s="1758">
        <v>14900</v>
      </c>
      <c r="AT655" s="1760">
        <v>14900</v>
      </c>
      <c r="AU655" s="1758" t="s">
        <v>775</v>
      </c>
      <c r="AV655" s="1758">
        <v>0</v>
      </c>
      <c r="AW655" s="1758" t="s">
        <v>775</v>
      </c>
      <c r="AX655" s="1758" t="s">
        <v>775</v>
      </c>
      <c r="AY655" s="1758" t="s">
        <v>775</v>
      </c>
      <c r="AZ655" s="1758" t="s">
        <v>775</v>
      </c>
      <c r="BA655" s="1758" t="s">
        <v>775</v>
      </c>
      <c r="BB655" s="1758" t="s">
        <v>775</v>
      </c>
      <c r="BC655" t="s">
        <v>775</v>
      </c>
      <c r="BD655" t="s">
        <v>775</v>
      </c>
    </row>
    <row r="656" spans="40:56" ht="12" customHeight="1">
      <c r="AN656" t="str">
        <f t="shared" si="20"/>
        <v>4171500NULL</v>
      </c>
      <c r="AO656" t="str">
        <f t="shared" si="21"/>
        <v>4171500NULL</v>
      </c>
      <c r="AP656" s="1758" t="s">
        <v>774</v>
      </c>
      <c r="AQ656" s="1759">
        <v>4171500</v>
      </c>
      <c r="AR656" s="1758" t="s">
        <v>775</v>
      </c>
      <c r="AS656" s="1758">
        <v>24700</v>
      </c>
      <c r="AT656" s="1760">
        <v>24700</v>
      </c>
      <c r="AU656" s="1758" t="s">
        <v>775</v>
      </c>
      <c r="AV656" s="1758">
        <v>0</v>
      </c>
      <c r="AW656" s="1758" t="s">
        <v>775</v>
      </c>
      <c r="AX656" s="1758" t="s">
        <v>775</v>
      </c>
      <c r="AY656" s="1758" t="s">
        <v>775</v>
      </c>
      <c r="AZ656" s="1758" t="s">
        <v>775</v>
      </c>
      <c r="BA656" s="1758" t="s">
        <v>775</v>
      </c>
      <c r="BB656" s="1758" t="s">
        <v>775</v>
      </c>
      <c r="BC656" t="s">
        <v>775</v>
      </c>
      <c r="BD656" t="s">
        <v>775</v>
      </c>
    </row>
    <row r="657" spans="40:56" ht="12" customHeight="1">
      <c r="AN657" t="str">
        <f t="shared" si="20"/>
        <v>4171609NULL</v>
      </c>
      <c r="AO657" t="str">
        <f t="shared" si="21"/>
        <v>4171609NULL</v>
      </c>
      <c r="AP657" s="1758" t="s">
        <v>774</v>
      </c>
      <c r="AQ657" s="1759">
        <v>4171609</v>
      </c>
      <c r="AR657" s="1758" t="s">
        <v>775</v>
      </c>
      <c r="AS657" s="1758">
        <v>24800</v>
      </c>
      <c r="AT657" s="1760">
        <v>24800</v>
      </c>
      <c r="AU657" s="1758" t="s">
        <v>775</v>
      </c>
      <c r="AV657" s="1758">
        <v>0</v>
      </c>
      <c r="AW657" s="1758" t="s">
        <v>775</v>
      </c>
      <c r="AX657" s="1758" t="s">
        <v>775</v>
      </c>
      <c r="AY657" s="1758" t="s">
        <v>775</v>
      </c>
      <c r="AZ657" s="1758" t="s">
        <v>775</v>
      </c>
      <c r="BA657" s="1758" t="s">
        <v>775</v>
      </c>
      <c r="BB657" s="1758" t="s">
        <v>775</v>
      </c>
      <c r="BC657" t="s">
        <v>775</v>
      </c>
      <c r="BD657" t="s">
        <v>775</v>
      </c>
    </row>
    <row r="658" spans="40:56" ht="12" customHeight="1">
      <c r="AN658" t="str">
        <f t="shared" si="20"/>
        <v>4170304NULL</v>
      </c>
      <c r="AO658" t="str">
        <f t="shared" si="21"/>
        <v>4170304NULL</v>
      </c>
      <c r="AP658" s="1758" t="s">
        <v>774</v>
      </c>
      <c r="AQ658" s="1759">
        <v>4170304</v>
      </c>
      <c r="AR658" s="1758" t="s">
        <v>775</v>
      </c>
      <c r="AS658" s="1758">
        <v>15700</v>
      </c>
      <c r="AT658" s="1760">
        <v>15700</v>
      </c>
      <c r="AU658" s="1758" t="s">
        <v>775</v>
      </c>
      <c r="AV658" s="1758">
        <v>0</v>
      </c>
      <c r="AW658" s="1758" t="s">
        <v>775</v>
      </c>
      <c r="AX658" s="1758" t="s">
        <v>775</v>
      </c>
      <c r="AY658" s="1758" t="s">
        <v>775</v>
      </c>
      <c r="AZ658" s="1758" t="s">
        <v>775</v>
      </c>
      <c r="BA658" s="1758" t="s">
        <v>775</v>
      </c>
      <c r="BB658" s="1758" t="s">
        <v>775</v>
      </c>
      <c r="BC658" t="s">
        <v>775</v>
      </c>
      <c r="BD658" t="s">
        <v>775</v>
      </c>
    </row>
    <row r="659" spans="40:56" ht="12" customHeight="1">
      <c r="AN659" t="str">
        <f t="shared" si="20"/>
        <v>4136206NULL</v>
      </c>
      <c r="AO659" t="str">
        <f t="shared" si="21"/>
        <v>4136206NULL</v>
      </c>
      <c r="AP659" s="1758" t="s">
        <v>774</v>
      </c>
      <c r="AQ659" s="1759">
        <v>4136206</v>
      </c>
      <c r="AR659" s="1758" t="s">
        <v>775</v>
      </c>
      <c r="AS659" s="1758">
        <v>6100</v>
      </c>
      <c r="AT659" s="1760">
        <v>6100</v>
      </c>
      <c r="AU659" s="1758" t="s">
        <v>775</v>
      </c>
      <c r="AV659" s="1758">
        <v>0</v>
      </c>
      <c r="AW659" s="1758" t="s">
        <v>775</v>
      </c>
      <c r="AX659" s="1758" t="s">
        <v>775</v>
      </c>
      <c r="AY659" s="1758" t="s">
        <v>775</v>
      </c>
      <c r="AZ659" s="1758" t="s">
        <v>775</v>
      </c>
      <c r="BA659" s="1758" t="s">
        <v>775</v>
      </c>
      <c r="BB659" s="1758" t="s">
        <v>775</v>
      </c>
      <c r="BC659" t="s">
        <v>775</v>
      </c>
      <c r="BD659" t="s">
        <v>775</v>
      </c>
    </row>
    <row r="660" spans="40:56" ht="12" customHeight="1">
      <c r="AN660" t="str">
        <f t="shared" si="20"/>
        <v>4137402NULL</v>
      </c>
      <c r="AO660" t="str">
        <f t="shared" si="21"/>
        <v>4137402NULL</v>
      </c>
      <c r="AP660" s="1758" t="s">
        <v>774</v>
      </c>
      <c r="AQ660" s="1759">
        <v>4137402</v>
      </c>
      <c r="AR660" s="1758" t="s">
        <v>775</v>
      </c>
      <c r="AS660" s="1758">
        <v>6500</v>
      </c>
      <c r="AT660" s="1760">
        <v>6500</v>
      </c>
      <c r="AU660" s="1758" t="s">
        <v>775</v>
      </c>
      <c r="AV660" s="1758">
        <v>0</v>
      </c>
      <c r="AW660" s="1758" t="s">
        <v>775</v>
      </c>
      <c r="AX660" s="1758" t="s">
        <v>775</v>
      </c>
      <c r="AY660" s="1758" t="s">
        <v>775</v>
      </c>
      <c r="AZ660" s="1758" t="s">
        <v>775</v>
      </c>
      <c r="BA660" s="1758" t="s">
        <v>775</v>
      </c>
      <c r="BB660" s="1758" t="s">
        <v>775</v>
      </c>
      <c r="BC660" t="s">
        <v>775</v>
      </c>
      <c r="BD660" t="s">
        <v>775</v>
      </c>
    </row>
    <row r="661" spans="40:56" ht="12" customHeight="1">
      <c r="AN661" t="str">
        <f t="shared" si="20"/>
        <v>4173308NULL</v>
      </c>
      <c r="AO661" t="str">
        <f t="shared" si="21"/>
        <v>4173308NULL</v>
      </c>
      <c r="AP661" s="1758" t="s">
        <v>774</v>
      </c>
      <c r="AQ661" s="1759">
        <v>4173308</v>
      </c>
      <c r="AR661" s="1758" t="s">
        <v>775</v>
      </c>
      <c r="AS661" s="1758">
        <v>2900</v>
      </c>
      <c r="AT661" s="1760">
        <v>2900</v>
      </c>
      <c r="AU661" s="1758" t="s">
        <v>775</v>
      </c>
      <c r="AV661" s="1758">
        <v>0</v>
      </c>
      <c r="AW661" s="1758" t="s">
        <v>775</v>
      </c>
      <c r="AX661" s="1758" t="s">
        <v>775</v>
      </c>
      <c r="AY661" s="1758" t="s">
        <v>775</v>
      </c>
      <c r="AZ661" s="1758" t="s">
        <v>775</v>
      </c>
      <c r="BA661" s="1758" t="s">
        <v>775</v>
      </c>
      <c r="BB661" s="1758" t="s">
        <v>775</v>
      </c>
      <c r="BC661" t="s">
        <v>775</v>
      </c>
      <c r="BD661" t="s">
        <v>775</v>
      </c>
    </row>
    <row r="662" spans="40:56" ht="12" customHeight="1">
      <c r="AN662" t="str">
        <f t="shared" si="20"/>
        <v>4148300NULL</v>
      </c>
      <c r="AO662" t="str">
        <f t="shared" si="21"/>
        <v>4148300NULL</v>
      </c>
      <c r="AP662" s="1758" t="s">
        <v>774</v>
      </c>
      <c r="AQ662" s="1759">
        <v>4148300</v>
      </c>
      <c r="AR662" s="1758" t="s">
        <v>775</v>
      </c>
      <c r="AS662" s="1758">
        <v>11100</v>
      </c>
      <c r="AT662" s="1760">
        <v>11100</v>
      </c>
      <c r="AU662" s="1758" t="s">
        <v>775</v>
      </c>
      <c r="AV662" s="1758">
        <v>0</v>
      </c>
      <c r="AW662" s="1758" t="s">
        <v>775</v>
      </c>
      <c r="AX662" s="1758" t="s">
        <v>775</v>
      </c>
      <c r="AY662" s="1758" t="s">
        <v>775</v>
      </c>
      <c r="AZ662" s="1758" t="s">
        <v>775</v>
      </c>
      <c r="BA662" s="1758" t="s">
        <v>775</v>
      </c>
      <c r="BB662" s="1758" t="s">
        <v>775</v>
      </c>
      <c r="BC662" t="s">
        <v>775</v>
      </c>
      <c r="BD662" t="s">
        <v>775</v>
      </c>
    </row>
    <row r="663" spans="40:56" ht="12" customHeight="1">
      <c r="AN663" t="str">
        <f t="shared" si="20"/>
        <v>4146700NULL</v>
      </c>
      <c r="AO663" t="str">
        <f t="shared" si="21"/>
        <v>4146700NULL</v>
      </c>
      <c r="AP663" s="1758" t="s">
        <v>774</v>
      </c>
      <c r="AQ663" s="1759">
        <v>4146700</v>
      </c>
      <c r="AR663" s="1758" t="s">
        <v>775</v>
      </c>
      <c r="AS663" s="1758">
        <v>9900</v>
      </c>
      <c r="AT663" s="1760">
        <v>9900</v>
      </c>
      <c r="AU663" s="1758" t="s">
        <v>775</v>
      </c>
      <c r="AV663" s="1758">
        <v>0</v>
      </c>
      <c r="AW663" s="1758" t="s">
        <v>775</v>
      </c>
      <c r="AX663" s="1758" t="s">
        <v>775</v>
      </c>
      <c r="AY663" s="1758" t="s">
        <v>775</v>
      </c>
      <c r="AZ663" s="1758" t="s">
        <v>775</v>
      </c>
      <c r="BA663" s="1758" t="s">
        <v>775</v>
      </c>
      <c r="BB663" s="1758" t="s">
        <v>775</v>
      </c>
      <c r="BC663" t="s">
        <v>775</v>
      </c>
      <c r="BD663" t="s">
        <v>775</v>
      </c>
    </row>
    <row r="664" spans="40:56" ht="12" customHeight="1">
      <c r="AN664" t="str">
        <f t="shared" si="20"/>
        <v>4144101NULL</v>
      </c>
      <c r="AO664" t="str">
        <f t="shared" si="21"/>
        <v>4144101NULL</v>
      </c>
      <c r="AP664" s="1758" t="s">
        <v>774</v>
      </c>
      <c r="AQ664" s="1759">
        <v>4144101</v>
      </c>
      <c r="AR664" s="1758" t="s">
        <v>775</v>
      </c>
      <c r="AS664" s="1758">
        <v>8700</v>
      </c>
      <c r="AT664" s="1760">
        <v>8700</v>
      </c>
      <c r="AU664" s="1758" t="s">
        <v>775</v>
      </c>
      <c r="AV664" s="1758">
        <v>0</v>
      </c>
      <c r="AW664" s="1758" t="s">
        <v>775</v>
      </c>
      <c r="AX664" s="1758" t="s">
        <v>775</v>
      </c>
      <c r="AY664" s="1758" t="s">
        <v>775</v>
      </c>
      <c r="AZ664" s="1758" t="s">
        <v>775</v>
      </c>
      <c r="BA664" s="1758" t="s">
        <v>775</v>
      </c>
      <c r="BB664" s="1758" t="s">
        <v>775</v>
      </c>
      <c r="BC664" t="s">
        <v>775</v>
      </c>
      <c r="BD664" t="s">
        <v>775</v>
      </c>
    </row>
    <row r="665" spans="40:56" ht="12" customHeight="1">
      <c r="AN665" t="str">
        <f t="shared" si="20"/>
        <v>41721021114971728</v>
      </c>
      <c r="AO665" t="str">
        <f t="shared" si="21"/>
        <v>4172102NULL</v>
      </c>
      <c r="AP665" s="1758" t="s">
        <v>774</v>
      </c>
      <c r="AQ665" s="1759">
        <v>4172102</v>
      </c>
      <c r="AR665" s="1758" t="s">
        <v>775</v>
      </c>
      <c r="AS665" s="1758">
        <v>20400</v>
      </c>
      <c r="AT665" s="1760">
        <v>20400</v>
      </c>
      <c r="AU665" s="1758">
        <v>1114971728</v>
      </c>
      <c r="AV665" s="1758">
        <v>1114971728</v>
      </c>
      <c r="AW665" s="1758" t="s">
        <v>775</v>
      </c>
      <c r="AX665" s="1758" t="s">
        <v>775</v>
      </c>
      <c r="AY665" s="1758" t="s">
        <v>775</v>
      </c>
      <c r="AZ665" s="1758" t="s">
        <v>775</v>
      </c>
      <c r="BA665" s="1758" t="s">
        <v>775</v>
      </c>
      <c r="BB665" s="1758" t="s">
        <v>775</v>
      </c>
      <c r="BC665" t="s">
        <v>775</v>
      </c>
      <c r="BD665" t="s">
        <v>775</v>
      </c>
    </row>
    <row r="666" spans="40:56" ht="12" customHeight="1">
      <c r="AN666" t="str">
        <f t="shared" si="20"/>
        <v>4137600NULL</v>
      </c>
      <c r="AO666" t="str">
        <f t="shared" si="21"/>
        <v>4137600NULL</v>
      </c>
      <c r="AP666" s="1758" t="s">
        <v>774</v>
      </c>
      <c r="AQ666" s="1759">
        <v>4137600</v>
      </c>
      <c r="AR666" s="1758" t="s">
        <v>775</v>
      </c>
      <c r="AS666" s="1758">
        <v>6600</v>
      </c>
      <c r="AT666" s="1760">
        <v>6600</v>
      </c>
      <c r="AU666" s="1758" t="s">
        <v>775</v>
      </c>
      <c r="AV666" s="1758">
        <v>0</v>
      </c>
      <c r="AW666" s="1758" t="s">
        <v>775</v>
      </c>
      <c r="AX666" s="1758" t="s">
        <v>775</v>
      </c>
      <c r="AY666" s="1758" t="s">
        <v>775</v>
      </c>
      <c r="AZ666" s="1758" t="s">
        <v>775</v>
      </c>
      <c r="BA666" s="1758" t="s">
        <v>775</v>
      </c>
      <c r="BB666" s="1758" t="s">
        <v>775</v>
      </c>
      <c r="BC666" t="s">
        <v>775</v>
      </c>
      <c r="BD666" t="s">
        <v>775</v>
      </c>
    </row>
    <row r="667" spans="40:56" ht="12" customHeight="1">
      <c r="AN667" t="str">
        <f t="shared" si="20"/>
        <v>4168506NULL</v>
      </c>
      <c r="AO667" t="str">
        <f t="shared" si="21"/>
        <v>4168506NULL</v>
      </c>
      <c r="AP667" s="1758" t="s">
        <v>774</v>
      </c>
      <c r="AQ667" s="1759">
        <v>4168506</v>
      </c>
      <c r="AR667" s="1758" t="s">
        <v>775</v>
      </c>
      <c r="AS667" s="1758">
        <v>20800</v>
      </c>
      <c r="AT667" s="1760">
        <v>20800</v>
      </c>
      <c r="AU667" s="1758" t="s">
        <v>775</v>
      </c>
      <c r="AV667" s="1758">
        <v>0</v>
      </c>
      <c r="AW667" s="1758" t="s">
        <v>775</v>
      </c>
      <c r="AX667" s="1758" t="s">
        <v>775</v>
      </c>
      <c r="AY667" s="1758" t="s">
        <v>775</v>
      </c>
      <c r="AZ667" s="1758" t="s">
        <v>775</v>
      </c>
      <c r="BA667" s="1758" t="s">
        <v>775</v>
      </c>
      <c r="BB667" s="1758" t="s">
        <v>775</v>
      </c>
      <c r="BC667" t="s">
        <v>775</v>
      </c>
      <c r="BD667" t="s">
        <v>775</v>
      </c>
    </row>
    <row r="668" spans="40:56" ht="12" customHeight="1">
      <c r="AN668" t="str">
        <f t="shared" si="20"/>
        <v>4135406NULL</v>
      </c>
      <c r="AO668" t="str">
        <f t="shared" si="21"/>
        <v>4135406NULL</v>
      </c>
      <c r="AP668" s="1758" t="s">
        <v>774</v>
      </c>
      <c r="AQ668" s="1759">
        <v>4135406</v>
      </c>
      <c r="AR668" s="1758" t="s">
        <v>775</v>
      </c>
      <c r="AS668" s="1758">
        <v>5800</v>
      </c>
      <c r="AT668" s="1760">
        <v>5800</v>
      </c>
      <c r="AU668" s="1758" t="s">
        <v>775</v>
      </c>
      <c r="AV668" s="1758">
        <v>0</v>
      </c>
      <c r="AW668" s="1758" t="s">
        <v>775</v>
      </c>
      <c r="AX668" s="1758" t="s">
        <v>775</v>
      </c>
      <c r="AY668" s="1758" t="s">
        <v>775</v>
      </c>
      <c r="AZ668" s="1758" t="s">
        <v>775</v>
      </c>
      <c r="BA668" s="1758" t="s">
        <v>775</v>
      </c>
      <c r="BB668" s="1758" t="s">
        <v>775</v>
      </c>
      <c r="BC668" t="s">
        <v>775</v>
      </c>
      <c r="BD668" t="s">
        <v>775</v>
      </c>
    </row>
    <row r="669" spans="40:56" ht="12" customHeight="1">
      <c r="AN669" t="str">
        <f t="shared" si="20"/>
        <v>4127213NULL</v>
      </c>
      <c r="AO669" t="str">
        <f t="shared" si="21"/>
        <v>4127213NULL</v>
      </c>
      <c r="AP669" s="1758" t="s">
        <v>774</v>
      </c>
      <c r="AQ669" s="1759">
        <v>4127213</v>
      </c>
      <c r="AR669" s="1758" t="s">
        <v>775</v>
      </c>
      <c r="AS669" s="1758">
        <v>5810</v>
      </c>
      <c r="AT669" s="1760">
        <v>5810</v>
      </c>
      <c r="AU669" s="1758" t="s">
        <v>775</v>
      </c>
      <c r="AV669" s="1758">
        <v>0</v>
      </c>
      <c r="AW669" s="1758" t="s">
        <v>775</v>
      </c>
      <c r="AX669" s="1758" t="s">
        <v>775</v>
      </c>
      <c r="AY669" s="1758" t="s">
        <v>775</v>
      </c>
      <c r="AZ669" s="1758" t="s">
        <v>775</v>
      </c>
      <c r="BA669" s="1758" t="s">
        <v>775</v>
      </c>
      <c r="BB669" s="1758" t="s">
        <v>775</v>
      </c>
      <c r="BC669" t="s">
        <v>775</v>
      </c>
      <c r="BD669" t="s">
        <v>775</v>
      </c>
    </row>
    <row r="670" spans="40:56" ht="12" customHeight="1">
      <c r="AN670" t="str">
        <f t="shared" si="20"/>
        <v>4122206NULL</v>
      </c>
      <c r="AO670" t="str">
        <f t="shared" si="21"/>
        <v>4122206NULL</v>
      </c>
      <c r="AP670" s="1758" t="s">
        <v>774</v>
      </c>
      <c r="AQ670" s="1759">
        <v>4122206</v>
      </c>
      <c r="AR670" s="1758" t="s">
        <v>775</v>
      </c>
      <c r="AS670" s="1758">
        <v>3300</v>
      </c>
      <c r="AT670" s="1760">
        <v>3300</v>
      </c>
      <c r="AU670" s="1758" t="s">
        <v>775</v>
      </c>
      <c r="AV670" s="1758">
        <v>0</v>
      </c>
      <c r="AW670" s="1758" t="s">
        <v>775</v>
      </c>
      <c r="AX670" s="1758" t="s">
        <v>775</v>
      </c>
      <c r="AY670" s="1758" t="s">
        <v>775</v>
      </c>
      <c r="AZ670" s="1758" t="s">
        <v>775</v>
      </c>
      <c r="BA670" s="1758" t="s">
        <v>775</v>
      </c>
      <c r="BB670" s="1758" t="s">
        <v>775</v>
      </c>
      <c r="BC670" t="s">
        <v>775</v>
      </c>
      <c r="BD670" t="s">
        <v>775</v>
      </c>
    </row>
    <row r="671" spans="40:56" ht="12" customHeight="1">
      <c r="AN671" t="str">
        <f t="shared" si="20"/>
        <v>4113866NULL</v>
      </c>
      <c r="AO671" t="str">
        <f t="shared" si="21"/>
        <v>4113866NULL</v>
      </c>
      <c r="AP671" s="1758" t="s">
        <v>774</v>
      </c>
      <c r="AQ671" s="1759">
        <v>4113866</v>
      </c>
      <c r="AR671" s="1758" t="s">
        <v>775</v>
      </c>
      <c r="AS671" s="1758" t="s">
        <v>775</v>
      </c>
      <c r="AT671" s="1760">
        <v>0</v>
      </c>
      <c r="AU671" s="1758" t="s">
        <v>775</v>
      </c>
      <c r="AV671" s="1758">
        <v>0</v>
      </c>
      <c r="AW671" s="1758" t="s">
        <v>775</v>
      </c>
      <c r="AX671" s="1758" t="s">
        <v>775</v>
      </c>
      <c r="AY671" s="1758" t="s">
        <v>775</v>
      </c>
      <c r="AZ671" s="1758" t="s">
        <v>775</v>
      </c>
      <c r="BA671" s="1758" t="s">
        <v>775</v>
      </c>
      <c r="BB671" s="1758" t="s">
        <v>775</v>
      </c>
      <c r="BC671" t="s">
        <v>775</v>
      </c>
      <c r="BD671" t="s">
        <v>775</v>
      </c>
    </row>
    <row r="672" spans="40:56" ht="12" customHeight="1">
      <c r="AN672" t="str">
        <f t="shared" si="20"/>
        <v>4113601NULL</v>
      </c>
      <c r="AO672" t="str">
        <f t="shared" si="21"/>
        <v>4113601NULL</v>
      </c>
      <c r="AP672" s="1758" t="s">
        <v>774</v>
      </c>
      <c r="AQ672" s="1759">
        <v>4113601</v>
      </c>
      <c r="AR672" s="1758" t="s">
        <v>775</v>
      </c>
      <c r="AS672" s="1758">
        <v>2200</v>
      </c>
      <c r="AT672" s="1760">
        <v>2200</v>
      </c>
      <c r="AU672" s="1758" t="s">
        <v>775</v>
      </c>
      <c r="AV672" s="1758">
        <v>0</v>
      </c>
      <c r="AW672" s="1758" t="s">
        <v>775</v>
      </c>
      <c r="AX672" s="1758" t="s">
        <v>775</v>
      </c>
      <c r="AY672" s="1758" t="s">
        <v>775</v>
      </c>
      <c r="AZ672" s="1758" t="s">
        <v>775</v>
      </c>
      <c r="BA672" s="1758" t="s">
        <v>775</v>
      </c>
      <c r="BB672" s="1758" t="s">
        <v>775</v>
      </c>
      <c r="BC672" t="s">
        <v>775</v>
      </c>
      <c r="BD672" t="s">
        <v>775</v>
      </c>
    </row>
    <row r="673" spans="40:56" ht="12" customHeight="1">
      <c r="AN673" t="str">
        <f t="shared" si="20"/>
        <v>4159802NULL</v>
      </c>
      <c r="AO673" t="str">
        <f t="shared" si="21"/>
        <v>4159802NULL</v>
      </c>
      <c r="AP673" s="1758" t="s">
        <v>774</v>
      </c>
      <c r="AQ673" s="1759">
        <v>4159802</v>
      </c>
      <c r="AR673" s="1758" t="s">
        <v>775</v>
      </c>
      <c r="AS673" s="1758">
        <v>19500</v>
      </c>
      <c r="AT673" s="1760">
        <v>19500</v>
      </c>
      <c r="AU673" s="1758" t="s">
        <v>775</v>
      </c>
      <c r="AV673" s="1758">
        <v>0</v>
      </c>
      <c r="AW673" s="1758" t="s">
        <v>775</v>
      </c>
      <c r="AX673" s="1758" t="s">
        <v>775</v>
      </c>
      <c r="AY673" s="1758" t="s">
        <v>775</v>
      </c>
      <c r="AZ673" s="1758" t="s">
        <v>775</v>
      </c>
      <c r="BA673" s="1758" t="s">
        <v>775</v>
      </c>
      <c r="BB673" s="1758" t="s">
        <v>775</v>
      </c>
      <c r="BC673" t="s">
        <v>775</v>
      </c>
      <c r="BD673" t="s">
        <v>775</v>
      </c>
    </row>
    <row r="674" spans="40:56" ht="12" customHeight="1">
      <c r="AN674" t="str">
        <f t="shared" si="20"/>
        <v>4143608NULL</v>
      </c>
      <c r="AO674" t="str">
        <f t="shared" si="21"/>
        <v>4143608NULL</v>
      </c>
      <c r="AP674" s="1758" t="s">
        <v>774</v>
      </c>
      <c r="AQ674" s="1759">
        <v>4143608</v>
      </c>
      <c r="AR674" s="1758" t="s">
        <v>775</v>
      </c>
      <c r="AS674" s="1758">
        <v>8500</v>
      </c>
      <c r="AT674" s="1760">
        <v>8500</v>
      </c>
      <c r="AU674" s="1758" t="s">
        <v>775</v>
      </c>
      <c r="AV674" s="1758">
        <v>0</v>
      </c>
      <c r="AW674" s="1758" t="s">
        <v>775</v>
      </c>
      <c r="AX674" s="1758" t="s">
        <v>775</v>
      </c>
      <c r="AY674" s="1758" t="s">
        <v>775</v>
      </c>
      <c r="AZ674" s="1758" t="s">
        <v>775</v>
      </c>
      <c r="BA674" s="1758" t="s">
        <v>775</v>
      </c>
      <c r="BB674" s="1758" t="s">
        <v>775</v>
      </c>
      <c r="BC674" t="s">
        <v>775</v>
      </c>
      <c r="BD674" t="s">
        <v>775</v>
      </c>
    </row>
    <row r="675" spans="40:56" ht="12" customHeight="1">
      <c r="AN675" t="str">
        <f t="shared" si="20"/>
        <v>4341905NULL</v>
      </c>
      <c r="AO675" t="str">
        <f t="shared" si="21"/>
        <v>4341905NULL</v>
      </c>
      <c r="AP675" s="1758" t="s">
        <v>774</v>
      </c>
      <c r="AQ675" s="1759">
        <v>4341905</v>
      </c>
      <c r="AR675" s="1758" t="s">
        <v>775</v>
      </c>
      <c r="AS675" s="1758">
        <v>34800</v>
      </c>
      <c r="AT675" s="1760">
        <v>34800</v>
      </c>
      <c r="AU675" s="1758" t="s">
        <v>775</v>
      </c>
      <c r="AV675" s="1758">
        <v>0</v>
      </c>
      <c r="AW675" s="1758" t="s">
        <v>775</v>
      </c>
      <c r="AX675" s="1758" t="s">
        <v>775</v>
      </c>
      <c r="AY675" s="1758" t="s">
        <v>775</v>
      </c>
      <c r="AZ675" s="1758" t="s">
        <v>775</v>
      </c>
      <c r="BA675" s="1758" t="s">
        <v>775</v>
      </c>
      <c r="BB675" s="1758" t="s">
        <v>775</v>
      </c>
      <c r="BC675" t="s">
        <v>775</v>
      </c>
      <c r="BD675" t="s">
        <v>775</v>
      </c>
    </row>
    <row r="676" spans="40:56" ht="12" customHeight="1">
      <c r="AN676" t="str">
        <f t="shared" si="20"/>
        <v>4213864NULL</v>
      </c>
      <c r="AO676" t="str">
        <f t="shared" si="21"/>
        <v>4213864NULL</v>
      </c>
      <c r="AP676" s="1758" t="s">
        <v>774</v>
      </c>
      <c r="AQ676" s="1759">
        <v>4213864</v>
      </c>
      <c r="AR676" s="1758" t="s">
        <v>775</v>
      </c>
      <c r="AS676" s="1758">
        <v>40500</v>
      </c>
      <c r="AT676" s="1760">
        <v>40500</v>
      </c>
      <c r="AU676" s="1758" t="s">
        <v>775</v>
      </c>
      <c r="AV676" s="1758">
        <v>0</v>
      </c>
      <c r="AW676" s="1758" t="s">
        <v>775</v>
      </c>
      <c r="AX676" s="1758" t="s">
        <v>775</v>
      </c>
      <c r="AY676" s="1758" t="s">
        <v>775</v>
      </c>
      <c r="AZ676" s="1758" t="s">
        <v>775</v>
      </c>
      <c r="BA676" s="1758" t="s">
        <v>775</v>
      </c>
      <c r="BB676" s="1758" t="s">
        <v>775</v>
      </c>
      <c r="BC676" t="s">
        <v>775</v>
      </c>
      <c r="BD676" t="s">
        <v>775</v>
      </c>
    </row>
    <row r="677" spans="40:56" ht="12" customHeight="1">
      <c r="AN677" t="str">
        <f t="shared" si="20"/>
        <v>4215000NULL</v>
      </c>
      <c r="AO677" t="str">
        <f t="shared" si="21"/>
        <v>4215000NULL</v>
      </c>
      <c r="AP677" s="1758" t="s">
        <v>774</v>
      </c>
      <c r="AQ677" s="1759">
        <v>4215000</v>
      </c>
      <c r="AR677" s="1758" t="s">
        <v>775</v>
      </c>
      <c r="AS677" s="1758">
        <v>31902</v>
      </c>
      <c r="AT677" s="1760">
        <v>31902</v>
      </c>
      <c r="AU677" s="1758" t="s">
        <v>775</v>
      </c>
      <c r="AV677" s="1758">
        <v>0</v>
      </c>
      <c r="AW677" s="1758" t="s">
        <v>775</v>
      </c>
      <c r="AX677" s="1758" t="s">
        <v>775</v>
      </c>
      <c r="AY677" s="1758" t="s">
        <v>775</v>
      </c>
      <c r="AZ677" s="1758" t="s">
        <v>775</v>
      </c>
      <c r="BA677" s="1758" t="s">
        <v>775</v>
      </c>
      <c r="BB677" s="1758" t="s">
        <v>775</v>
      </c>
      <c r="BC677" t="s">
        <v>775</v>
      </c>
      <c r="BD677" t="s">
        <v>775</v>
      </c>
    </row>
    <row r="678" spans="40:56" ht="12" customHeight="1">
      <c r="AN678" t="str">
        <f t="shared" si="20"/>
        <v>42155051649209230</v>
      </c>
      <c r="AO678" t="str">
        <f t="shared" si="21"/>
        <v>4215505NULL</v>
      </c>
      <c r="AP678" s="1758" t="s">
        <v>774</v>
      </c>
      <c r="AQ678" s="1759">
        <v>4215505</v>
      </c>
      <c r="AR678" s="1758" t="s">
        <v>775</v>
      </c>
      <c r="AS678" s="1758">
        <v>40240</v>
      </c>
      <c r="AT678" s="1760">
        <v>40240</v>
      </c>
      <c r="AU678" s="1758">
        <v>1649209230</v>
      </c>
      <c r="AV678" s="1758">
        <v>1649209230</v>
      </c>
      <c r="AW678" s="1758" t="s">
        <v>775</v>
      </c>
      <c r="AX678" s="1758" t="s">
        <v>775</v>
      </c>
      <c r="AY678" s="1758" t="s">
        <v>775</v>
      </c>
      <c r="AZ678" s="1758" t="s">
        <v>775</v>
      </c>
      <c r="BA678" s="1758" t="s">
        <v>775</v>
      </c>
      <c r="BB678" s="1758" t="s">
        <v>775</v>
      </c>
      <c r="BC678" t="s">
        <v>775</v>
      </c>
      <c r="BD678" t="s">
        <v>775</v>
      </c>
    </row>
    <row r="679" spans="40:56" ht="12" customHeight="1">
      <c r="AN679" t="str">
        <f t="shared" si="20"/>
        <v>4219101NULL</v>
      </c>
      <c r="AO679" t="str">
        <f t="shared" si="21"/>
        <v>4219101NULL</v>
      </c>
      <c r="AP679" s="1758" t="s">
        <v>774</v>
      </c>
      <c r="AQ679" s="1759">
        <v>4219101</v>
      </c>
      <c r="AR679" s="1758" t="s">
        <v>775</v>
      </c>
      <c r="AS679" s="1758">
        <v>31000</v>
      </c>
      <c r="AT679" s="1760">
        <v>31000</v>
      </c>
      <c r="AU679" s="1758" t="s">
        <v>775</v>
      </c>
      <c r="AV679" s="1758">
        <v>0</v>
      </c>
      <c r="AW679" s="1758" t="s">
        <v>775</v>
      </c>
      <c r="AX679" s="1758" t="s">
        <v>775</v>
      </c>
      <c r="AY679" s="1758" t="s">
        <v>775</v>
      </c>
      <c r="AZ679" s="1758" t="s">
        <v>775</v>
      </c>
      <c r="BA679" s="1758" t="s">
        <v>775</v>
      </c>
      <c r="BB679" s="1758" t="s">
        <v>775</v>
      </c>
      <c r="BC679" t="s">
        <v>775</v>
      </c>
      <c r="BD679" t="s">
        <v>775</v>
      </c>
    </row>
    <row r="680" spans="40:56" ht="12" customHeight="1">
      <c r="AN680" t="str">
        <f t="shared" si="20"/>
        <v>4195004NULL</v>
      </c>
      <c r="AO680" t="str">
        <f t="shared" si="21"/>
        <v>4195004NULL</v>
      </c>
      <c r="AP680" s="1758" t="s">
        <v>774</v>
      </c>
      <c r="AQ680" s="1759">
        <v>4195004</v>
      </c>
      <c r="AR680" s="1758" t="s">
        <v>775</v>
      </c>
      <c r="AS680" s="1758">
        <v>33800</v>
      </c>
      <c r="AT680" s="1760">
        <v>33800</v>
      </c>
      <c r="AU680" s="1758" t="s">
        <v>775</v>
      </c>
      <c r="AV680" s="1758">
        <v>0</v>
      </c>
      <c r="AW680" s="1758" t="s">
        <v>775</v>
      </c>
      <c r="AX680" s="1758" t="s">
        <v>775</v>
      </c>
      <c r="AY680" s="1758" t="s">
        <v>775</v>
      </c>
      <c r="AZ680" s="1758" t="s">
        <v>775</v>
      </c>
      <c r="BA680" s="1758" t="s">
        <v>775</v>
      </c>
      <c r="BB680" s="1758" t="s">
        <v>775</v>
      </c>
      <c r="BC680" t="s">
        <v>775</v>
      </c>
      <c r="BD680" t="s">
        <v>775</v>
      </c>
    </row>
    <row r="681" spans="40:56" ht="12" customHeight="1">
      <c r="AN681" t="str">
        <f t="shared" si="20"/>
        <v>4112199NULL</v>
      </c>
      <c r="AO681" t="str">
        <f t="shared" si="21"/>
        <v>4112199NULL</v>
      </c>
      <c r="AP681" s="1758" t="s">
        <v>774</v>
      </c>
      <c r="AQ681" s="1759">
        <v>4112199</v>
      </c>
      <c r="AR681" s="1758" t="s">
        <v>775</v>
      </c>
      <c r="AS681" s="1758">
        <v>16600</v>
      </c>
      <c r="AT681" s="1760">
        <v>16600</v>
      </c>
      <c r="AU681" s="1758" t="s">
        <v>775</v>
      </c>
      <c r="AV681" s="1758">
        <v>0</v>
      </c>
      <c r="AW681" s="1758" t="s">
        <v>775</v>
      </c>
      <c r="AX681" s="1758" t="s">
        <v>775</v>
      </c>
      <c r="AY681" s="1758" t="s">
        <v>775</v>
      </c>
      <c r="AZ681" s="1758" t="s">
        <v>775</v>
      </c>
      <c r="BA681" s="1758" t="s">
        <v>775</v>
      </c>
      <c r="BB681" s="1758" t="s">
        <v>775</v>
      </c>
      <c r="BC681" t="s">
        <v>775</v>
      </c>
      <c r="BD681" t="s">
        <v>775</v>
      </c>
    </row>
    <row r="682" spans="40:56" ht="12" customHeight="1">
      <c r="AN682" t="str">
        <f t="shared" si="20"/>
        <v>4310264NULL</v>
      </c>
      <c r="AO682" t="str">
        <f t="shared" si="21"/>
        <v>4310264NULL</v>
      </c>
      <c r="AP682" s="1758" t="s">
        <v>774</v>
      </c>
      <c r="AQ682" s="1759">
        <v>4310264</v>
      </c>
      <c r="AR682" s="1758" t="s">
        <v>775</v>
      </c>
      <c r="AS682" s="1758">
        <v>32100</v>
      </c>
      <c r="AT682" s="1760">
        <v>32100</v>
      </c>
      <c r="AU682" s="1758" t="s">
        <v>775</v>
      </c>
      <c r="AV682" s="1758">
        <v>0</v>
      </c>
      <c r="AW682" s="1758" t="s">
        <v>775</v>
      </c>
      <c r="AX682" s="1758" t="s">
        <v>775</v>
      </c>
      <c r="AY682" s="1758" t="s">
        <v>775</v>
      </c>
      <c r="AZ682" s="1758" t="s">
        <v>775</v>
      </c>
      <c r="BA682" s="1758" t="s">
        <v>775</v>
      </c>
      <c r="BB682" s="1758" t="s">
        <v>775</v>
      </c>
      <c r="BC682" t="s">
        <v>775</v>
      </c>
      <c r="BD682" t="s">
        <v>775</v>
      </c>
    </row>
    <row r="683" spans="40:56" ht="12" customHeight="1">
      <c r="AN683" t="str">
        <f t="shared" si="20"/>
        <v>4165700NULL</v>
      </c>
      <c r="AO683" t="str">
        <f t="shared" si="21"/>
        <v>4165700NULL</v>
      </c>
      <c r="AP683" s="1758" t="s">
        <v>774</v>
      </c>
      <c r="AQ683" s="1759">
        <v>4165700</v>
      </c>
      <c r="AR683" s="1758" t="s">
        <v>775</v>
      </c>
      <c r="AS683" s="1758">
        <v>23400</v>
      </c>
      <c r="AT683" s="1760">
        <v>23400</v>
      </c>
      <c r="AU683" s="1758" t="s">
        <v>775</v>
      </c>
      <c r="AV683" s="1758">
        <v>0</v>
      </c>
      <c r="AW683" s="1758" t="s">
        <v>775</v>
      </c>
      <c r="AX683" s="1758" t="s">
        <v>775</v>
      </c>
      <c r="AY683" s="1758" t="s">
        <v>775</v>
      </c>
      <c r="AZ683" s="1758" t="s">
        <v>775</v>
      </c>
      <c r="BA683" s="1758" t="s">
        <v>775</v>
      </c>
      <c r="BB683" s="1758" t="s">
        <v>775</v>
      </c>
      <c r="BC683" t="s">
        <v>775</v>
      </c>
      <c r="BD683" t="s">
        <v>775</v>
      </c>
    </row>
    <row r="684" spans="40:56" ht="12" customHeight="1">
      <c r="AN684" t="str">
        <f t="shared" si="20"/>
        <v>4210035NULL</v>
      </c>
      <c r="AO684" t="str">
        <f t="shared" si="21"/>
        <v>4210035NULL</v>
      </c>
      <c r="AP684" s="1758" t="s">
        <v>774</v>
      </c>
      <c r="AQ684" s="1759">
        <v>4210035</v>
      </c>
      <c r="AR684" s="1758" t="s">
        <v>775</v>
      </c>
      <c r="AS684" s="1758">
        <v>40060</v>
      </c>
      <c r="AT684" s="1760">
        <v>40060</v>
      </c>
      <c r="AU684" s="1758" t="s">
        <v>775</v>
      </c>
      <c r="AV684" s="1758">
        <v>0</v>
      </c>
      <c r="AW684" s="1758" t="s">
        <v>775</v>
      </c>
      <c r="AX684" s="1758" t="s">
        <v>775</v>
      </c>
      <c r="AY684" s="1758" t="s">
        <v>775</v>
      </c>
      <c r="AZ684" s="1758" t="s">
        <v>775</v>
      </c>
      <c r="BA684" s="1758" t="s">
        <v>775</v>
      </c>
      <c r="BB684" s="1758" t="s">
        <v>775</v>
      </c>
      <c r="BC684" t="s">
        <v>775</v>
      </c>
      <c r="BD684" t="s">
        <v>775</v>
      </c>
    </row>
    <row r="685" spans="40:56" ht="12" customHeight="1">
      <c r="AN685" t="str">
        <f t="shared" si="20"/>
        <v>4199402NULL</v>
      </c>
      <c r="AO685" t="str">
        <f t="shared" si="21"/>
        <v>4199402NULL</v>
      </c>
      <c r="AP685" s="1758" t="s">
        <v>774</v>
      </c>
      <c r="AQ685" s="1759">
        <v>4199402</v>
      </c>
      <c r="AR685" s="1758" t="s">
        <v>775</v>
      </c>
      <c r="AS685" s="1758">
        <v>26500</v>
      </c>
      <c r="AT685" s="1760">
        <v>26500</v>
      </c>
      <c r="AU685" s="1758" t="s">
        <v>775</v>
      </c>
      <c r="AV685" s="1758">
        <v>0</v>
      </c>
      <c r="AW685" s="1758" t="s">
        <v>775</v>
      </c>
      <c r="AX685" s="1758" t="s">
        <v>775</v>
      </c>
      <c r="AY685" s="1758" t="s">
        <v>775</v>
      </c>
      <c r="AZ685" s="1758" t="s">
        <v>775</v>
      </c>
      <c r="BA685" s="1758" t="s">
        <v>775</v>
      </c>
      <c r="BB685" s="1758" t="s">
        <v>775</v>
      </c>
      <c r="BC685" t="s">
        <v>775</v>
      </c>
      <c r="BD685" t="s">
        <v>775</v>
      </c>
    </row>
    <row r="686" spans="40:56" ht="12" customHeight="1">
      <c r="AN686" t="str">
        <f t="shared" si="20"/>
        <v>4378204NULL</v>
      </c>
      <c r="AO686" t="str">
        <f t="shared" si="21"/>
        <v>4378204NULL</v>
      </c>
      <c r="AP686" s="1758" t="s">
        <v>774</v>
      </c>
      <c r="AQ686" s="1759">
        <v>4378204</v>
      </c>
      <c r="AR686" s="1758" t="s">
        <v>775</v>
      </c>
      <c r="AS686" s="1758">
        <v>35100</v>
      </c>
      <c r="AT686" s="1760">
        <v>35100</v>
      </c>
      <c r="AU686" s="1758" t="s">
        <v>775</v>
      </c>
      <c r="AV686" s="1758">
        <v>0</v>
      </c>
      <c r="AW686" s="1758" t="s">
        <v>775</v>
      </c>
      <c r="AX686" s="1758" t="s">
        <v>775</v>
      </c>
      <c r="AY686" s="1758" t="s">
        <v>775</v>
      </c>
      <c r="AZ686" s="1758" t="s">
        <v>775</v>
      </c>
      <c r="BA686" s="1758" t="s">
        <v>775</v>
      </c>
      <c r="BB686" s="1758" t="s">
        <v>775</v>
      </c>
      <c r="BC686" t="s">
        <v>775</v>
      </c>
      <c r="BD686" t="s">
        <v>775</v>
      </c>
    </row>
    <row r="687" spans="40:56" ht="12" customHeight="1">
      <c r="AN687" t="str">
        <f t="shared" si="20"/>
        <v>4383501NULL</v>
      </c>
      <c r="AO687" t="str">
        <f t="shared" si="21"/>
        <v>4383501NULL</v>
      </c>
      <c r="AP687" s="1758" t="s">
        <v>774</v>
      </c>
      <c r="AQ687" s="1759">
        <v>4383501</v>
      </c>
      <c r="AR687" s="1758" t="s">
        <v>775</v>
      </c>
      <c r="AS687" s="1758">
        <v>35400</v>
      </c>
      <c r="AT687" s="1760">
        <v>35400</v>
      </c>
      <c r="AU687" s="1758" t="s">
        <v>775</v>
      </c>
      <c r="AV687" s="1758">
        <v>0</v>
      </c>
      <c r="AW687" s="1758" t="s">
        <v>775</v>
      </c>
      <c r="AX687" s="1758" t="s">
        <v>775</v>
      </c>
      <c r="AY687" s="1758" t="s">
        <v>775</v>
      </c>
      <c r="AZ687" s="1758" t="s">
        <v>775</v>
      </c>
      <c r="BA687" s="1758" t="s">
        <v>775</v>
      </c>
      <c r="BB687" s="1758" t="s">
        <v>775</v>
      </c>
      <c r="BC687" t="s">
        <v>775</v>
      </c>
      <c r="BD687" t="s">
        <v>775</v>
      </c>
    </row>
    <row r="688" spans="40:56" ht="12" customHeight="1">
      <c r="AN688" t="str">
        <f t="shared" si="20"/>
        <v>4389904NULL</v>
      </c>
      <c r="AO688" t="str">
        <f t="shared" si="21"/>
        <v>4389904NULL</v>
      </c>
      <c r="AP688" s="1758" t="s">
        <v>774</v>
      </c>
      <c r="AQ688" s="1759">
        <v>4389904</v>
      </c>
      <c r="AR688" s="1758" t="s">
        <v>775</v>
      </c>
      <c r="AS688" s="1758">
        <v>32200</v>
      </c>
      <c r="AT688" s="1760">
        <v>32200</v>
      </c>
      <c r="AU688" s="1758" t="s">
        <v>775</v>
      </c>
      <c r="AV688" s="1758">
        <v>0</v>
      </c>
      <c r="AW688" s="1758" t="s">
        <v>775</v>
      </c>
      <c r="AX688" s="1758" t="s">
        <v>775</v>
      </c>
      <c r="AY688" s="1758" t="s">
        <v>775</v>
      </c>
      <c r="AZ688" s="1758" t="s">
        <v>775</v>
      </c>
      <c r="BA688" s="1758" t="s">
        <v>775</v>
      </c>
      <c r="BB688" s="1758" t="s">
        <v>775</v>
      </c>
      <c r="BC688" t="s">
        <v>775</v>
      </c>
      <c r="BD688" t="s">
        <v>775</v>
      </c>
    </row>
    <row r="689" spans="40:56" ht="12" customHeight="1">
      <c r="AN689" t="str">
        <f t="shared" si="20"/>
        <v>4396701NULL</v>
      </c>
      <c r="AO689" t="str">
        <f t="shared" si="21"/>
        <v>4396701NULL</v>
      </c>
      <c r="AP689" s="1758" t="s">
        <v>774</v>
      </c>
      <c r="AQ689" s="1759">
        <v>4396701</v>
      </c>
      <c r="AR689" s="1758" t="s">
        <v>775</v>
      </c>
      <c r="AS689" s="1758">
        <v>1800</v>
      </c>
      <c r="AT689" s="1760">
        <v>1800</v>
      </c>
      <c r="AU689" s="1758" t="s">
        <v>775</v>
      </c>
      <c r="AV689" s="1758">
        <v>0</v>
      </c>
      <c r="AW689" s="1758" t="s">
        <v>775</v>
      </c>
      <c r="AX689" s="1758" t="s">
        <v>775</v>
      </c>
      <c r="AY689" s="1758" t="s">
        <v>775</v>
      </c>
      <c r="AZ689" s="1758" t="s">
        <v>775</v>
      </c>
      <c r="BA689" s="1758" t="s">
        <v>775</v>
      </c>
      <c r="BB689" s="1758" t="s">
        <v>775</v>
      </c>
      <c r="BC689" t="s">
        <v>775</v>
      </c>
      <c r="BD689" t="s">
        <v>775</v>
      </c>
    </row>
    <row r="690" spans="40:56" ht="12" customHeight="1">
      <c r="AN690" t="str">
        <f t="shared" si="20"/>
        <v>4310215NULL</v>
      </c>
      <c r="AO690" t="str">
        <f t="shared" si="21"/>
        <v>4310215NULL</v>
      </c>
      <c r="AP690" s="1758" t="s">
        <v>774</v>
      </c>
      <c r="AQ690" s="1759">
        <v>4310215</v>
      </c>
      <c r="AR690" s="1758" t="s">
        <v>775</v>
      </c>
      <c r="AS690" s="1758">
        <v>36600</v>
      </c>
      <c r="AT690" s="1760">
        <v>36600</v>
      </c>
      <c r="AU690" s="1758" t="s">
        <v>775</v>
      </c>
      <c r="AV690" s="1758">
        <v>0</v>
      </c>
      <c r="AW690" s="1758" t="s">
        <v>775</v>
      </c>
      <c r="AX690" s="1758" t="s">
        <v>775</v>
      </c>
      <c r="AY690" s="1758" t="s">
        <v>775</v>
      </c>
      <c r="AZ690" s="1758" t="s">
        <v>775</v>
      </c>
      <c r="BA690" s="1758" t="s">
        <v>775</v>
      </c>
      <c r="BB690" s="1758" t="s">
        <v>775</v>
      </c>
      <c r="BC690" t="s">
        <v>775</v>
      </c>
      <c r="BD690" t="s">
        <v>775</v>
      </c>
    </row>
    <row r="691" spans="40:56" ht="12" customHeight="1">
      <c r="AN691" t="str">
        <f t="shared" si="20"/>
        <v>4200036NULL</v>
      </c>
      <c r="AO691" t="str">
        <f t="shared" si="21"/>
        <v>4200036NULL</v>
      </c>
      <c r="AP691" s="1758" t="s">
        <v>774</v>
      </c>
      <c r="AQ691" s="1759">
        <v>4200036</v>
      </c>
      <c r="AR691" s="1758" t="s">
        <v>775</v>
      </c>
      <c r="AS691" s="1758">
        <v>40060</v>
      </c>
      <c r="AT691" s="1760">
        <v>40060</v>
      </c>
      <c r="AU691" s="1758" t="s">
        <v>775</v>
      </c>
      <c r="AV691" s="1758">
        <v>0</v>
      </c>
      <c r="AW691" s="1758" t="s">
        <v>775</v>
      </c>
      <c r="AX691" s="1758" t="s">
        <v>775</v>
      </c>
      <c r="AY691" s="1758" t="s">
        <v>775</v>
      </c>
      <c r="AZ691" s="1758" t="s">
        <v>775</v>
      </c>
      <c r="BA691" s="1758" t="s">
        <v>775</v>
      </c>
      <c r="BB691" s="1758" t="s">
        <v>775</v>
      </c>
      <c r="BC691" t="s">
        <v>775</v>
      </c>
      <c r="BD691" t="s">
        <v>775</v>
      </c>
    </row>
    <row r="692" spans="40:56" ht="12" customHeight="1">
      <c r="AN692" t="str">
        <f t="shared" si="20"/>
        <v>4195103NULL</v>
      </c>
      <c r="AO692" t="str">
        <f t="shared" si="21"/>
        <v>4195103NULL</v>
      </c>
      <c r="AP692" s="1758" t="s">
        <v>774</v>
      </c>
      <c r="AQ692" s="1759">
        <v>4195103</v>
      </c>
      <c r="AR692" s="1758" t="s">
        <v>775</v>
      </c>
      <c r="AS692" s="1758">
        <v>35050</v>
      </c>
      <c r="AT692" s="1760">
        <v>35050</v>
      </c>
      <c r="AU692" s="1758" t="s">
        <v>775</v>
      </c>
      <c r="AV692" s="1758">
        <v>0</v>
      </c>
      <c r="AW692" s="1758" t="s">
        <v>775</v>
      </c>
      <c r="AX692" s="1758" t="s">
        <v>775</v>
      </c>
      <c r="AY692" s="1758" t="s">
        <v>775</v>
      </c>
      <c r="AZ692" s="1758" t="s">
        <v>775</v>
      </c>
      <c r="BA692" s="1758" t="s">
        <v>775</v>
      </c>
      <c r="BB692" s="1758" t="s">
        <v>775</v>
      </c>
      <c r="BC692" t="s">
        <v>775</v>
      </c>
      <c r="BD692" t="s">
        <v>775</v>
      </c>
    </row>
    <row r="693" spans="40:56" ht="12" customHeight="1">
      <c r="AN693" t="str">
        <f t="shared" si="20"/>
        <v>4206306NULL</v>
      </c>
      <c r="AO693" t="str">
        <f t="shared" si="21"/>
        <v>4206306NULL</v>
      </c>
      <c r="AP693" s="1758" t="s">
        <v>774</v>
      </c>
      <c r="AQ693" s="1759">
        <v>4206306</v>
      </c>
      <c r="AR693" s="1758" t="s">
        <v>775</v>
      </c>
      <c r="AS693" s="1758">
        <v>31400</v>
      </c>
      <c r="AT693" s="1760">
        <v>31400</v>
      </c>
      <c r="AU693" s="1758" t="s">
        <v>775</v>
      </c>
      <c r="AV693" s="1758">
        <v>0</v>
      </c>
      <c r="AW693" s="1758" t="s">
        <v>775</v>
      </c>
      <c r="AX693" s="1758" t="s">
        <v>775</v>
      </c>
      <c r="AY693" s="1758" t="s">
        <v>775</v>
      </c>
      <c r="AZ693" s="1758" t="s">
        <v>775</v>
      </c>
      <c r="BA693" s="1758" t="s">
        <v>775</v>
      </c>
      <c r="BB693" s="1758" t="s">
        <v>775</v>
      </c>
      <c r="BC693" t="s">
        <v>775</v>
      </c>
      <c r="BD693" t="s">
        <v>775</v>
      </c>
    </row>
    <row r="694" spans="40:56" ht="12" customHeight="1">
      <c r="AN694" t="str">
        <f t="shared" si="20"/>
        <v>4202701NULL</v>
      </c>
      <c r="AO694" t="str">
        <f t="shared" si="21"/>
        <v>4202701NULL</v>
      </c>
      <c r="AP694" s="1758" t="s">
        <v>774</v>
      </c>
      <c r="AQ694" s="1759">
        <v>4202701</v>
      </c>
      <c r="AR694" s="1758" t="s">
        <v>775</v>
      </c>
      <c r="AS694" s="1758">
        <v>40320</v>
      </c>
      <c r="AT694" s="1760">
        <v>40320</v>
      </c>
      <c r="AU694" s="1758" t="s">
        <v>775</v>
      </c>
      <c r="AV694" s="1758">
        <v>0</v>
      </c>
      <c r="AW694" s="1758" t="s">
        <v>775</v>
      </c>
      <c r="AX694" s="1758" t="s">
        <v>775</v>
      </c>
      <c r="AY694" s="1758" t="s">
        <v>775</v>
      </c>
      <c r="AZ694" s="1758" t="s">
        <v>775</v>
      </c>
      <c r="BA694" s="1758" t="s">
        <v>775</v>
      </c>
      <c r="BB694" s="1758" t="s">
        <v>775</v>
      </c>
      <c r="BC694" t="s">
        <v>775</v>
      </c>
      <c r="BD694" t="s">
        <v>775</v>
      </c>
    </row>
    <row r="695" spans="40:56" ht="12" customHeight="1">
      <c r="AN695" t="str">
        <f t="shared" si="20"/>
        <v>4199915NULL</v>
      </c>
      <c r="AO695" t="str">
        <f t="shared" si="21"/>
        <v>4199915NULL</v>
      </c>
      <c r="AP695" s="1758" t="s">
        <v>774</v>
      </c>
      <c r="AQ695" s="1759">
        <v>4199915</v>
      </c>
      <c r="AR695" s="1758" t="s">
        <v>775</v>
      </c>
      <c r="AS695" s="1758">
        <v>18800</v>
      </c>
      <c r="AT695" s="1760">
        <v>18800</v>
      </c>
      <c r="AU695" s="1758" t="s">
        <v>775</v>
      </c>
      <c r="AV695" s="1758">
        <v>0</v>
      </c>
      <c r="AW695" s="1758" t="s">
        <v>775</v>
      </c>
      <c r="AX695" s="1758" t="s">
        <v>775</v>
      </c>
      <c r="AY695" s="1758" t="s">
        <v>775</v>
      </c>
      <c r="AZ695" s="1758" t="s">
        <v>775</v>
      </c>
      <c r="BA695" s="1758" t="s">
        <v>775</v>
      </c>
      <c r="BB695" s="1758" t="s">
        <v>775</v>
      </c>
      <c r="BC695" t="s">
        <v>775</v>
      </c>
      <c r="BD695" t="s">
        <v>775</v>
      </c>
    </row>
    <row r="696" spans="40:56" ht="12" customHeight="1">
      <c r="AN696" t="str">
        <f t="shared" si="20"/>
        <v>42000101043241508</v>
      </c>
      <c r="AO696" t="str">
        <f t="shared" si="21"/>
        <v>4200010NULL</v>
      </c>
      <c r="AP696" s="1758" t="s">
        <v>774</v>
      </c>
      <c r="AQ696" s="1759">
        <v>4200010</v>
      </c>
      <c r="AR696" s="1758" t="s">
        <v>775</v>
      </c>
      <c r="AS696" s="1758">
        <v>40310</v>
      </c>
      <c r="AT696" s="1760">
        <v>40310</v>
      </c>
      <c r="AU696" s="1758">
        <v>1043241508</v>
      </c>
      <c r="AV696" s="1758">
        <v>1043241508</v>
      </c>
      <c r="AW696" s="1758" t="s">
        <v>775</v>
      </c>
      <c r="AX696" s="1758" t="s">
        <v>775</v>
      </c>
      <c r="AY696" s="1758" t="s">
        <v>775</v>
      </c>
      <c r="AZ696" s="1758" t="s">
        <v>775</v>
      </c>
      <c r="BA696" s="1758" t="s">
        <v>775</v>
      </c>
      <c r="BB696" s="1758" t="s">
        <v>775</v>
      </c>
      <c r="BC696" t="s">
        <v>775</v>
      </c>
      <c r="BD696" t="s">
        <v>775</v>
      </c>
    </row>
    <row r="697" spans="40:56" ht="12" customHeight="1">
      <c r="AN697" t="str">
        <f t="shared" si="20"/>
        <v>4210039NULL</v>
      </c>
      <c r="AO697" t="str">
        <f t="shared" si="21"/>
        <v>4210039NULL</v>
      </c>
      <c r="AP697" s="1758" t="s">
        <v>774</v>
      </c>
      <c r="AQ697" s="1759">
        <v>4210039</v>
      </c>
      <c r="AR697" s="1758" t="s">
        <v>775</v>
      </c>
      <c r="AS697" s="1758" t="s">
        <v>775</v>
      </c>
      <c r="AT697" s="1760">
        <v>0</v>
      </c>
      <c r="AU697" s="1758" t="s">
        <v>775</v>
      </c>
      <c r="AV697" s="1758">
        <v>0</v>
      </c>
      <c r="AW697" s="1758" t="s">
        <v>775</v>
      </c>
      <c r="AX697" s="1758" t="s">
        <v>775</v>
      </c>
      <c r="AY697" s="1758" t="s">
        <v>775</v>
      </c>
      <c r="AZ697" s="1758" t="s">
        <v>775</v>
      </c>
      <c r="BA697" s="1758" t="s">
        <v>775</v>
      </c>
      <c r="BB697" s="1758" t="s">
        <v>775</v>
      </c>
      <c r="BC697" t="s">
        <v>775</v>
      </c>
      <c r="BD697" t="s">
        <v>775</v>
      </c>
    </row>
    <row r="698" spans="40:56" ht="12" customHeight="1">
      <c r="AN698" t="str">
        <f t="shared" si="20"/>
        <v>4199808NULL</v>
      </c>
      <c r="AO698" t="str">
        <f t="shared" si="21"/>
        <v>4199808NULL</v>
      </c>
      <c r="AP698" s="1758" t="s">
        <v>774</v>
      </c>
      <c r="AQ698" s="1759">
        <v>4199808</v>
      </c>
      <c r="AR698" s="1758" t="s">
        <v>775</v>
      </c>
      <c r="AS698" s="1758">
        <v>19000</v>
      </c>
      <c r="AT698" s="1760">
        <v>19000</v>
      </c>
      <c r="AU698" s="1758" t="s">
        <v>775</v>
      </c>
      <c r="AV698" s="1758">
        <v>0</v>
      </c>
      <c r="AW698" s="1758" t="s">
        <v>775</v>
      </c>
      <c r="AX698" s="1758" t="s">
        <v>775</v>
      </c>
      <c r="AY698" s="1758" t="s">
        <v>775</v>
      </c>
      <c r="AZ698" s="1758" t="s">
        <v>775</v>
      </c>
      <c r="BA698" s="1758" t="s">
        <v>775</v>
      </c>
      <c r="BB698" s="1758" t="s">
        <v>775</v>
      </c>
      <c r="BC698" t="s">
        <v>775</v>
      </c>
      <c r="BD698" t="s">
        <v>775</v>
      </c>
    </row>
    <row r="699" spans="40:56" ht="12" customHeight="1">
      <c r="AN699" t="str">
        <f t="shared" si="20"/>
        <v>4185906NULL</v>
      </c>
      <c r="AO699" t="str">
        <f t="shared" si="21"/>
        <v>4185906NULL</v>
      </c>
      <c r="AP699" s="1758" t="s">
        <v>774</v>
      </c>
      <c r="AQ699" s="1759">
        <v>4185906</v>
      </c>
      <c r="AR699" s="1758" t="s">
        <v>775</v>
      </c>
      <c r="AS699" s="1758">
        <v>1000</v>
      </c>
      <c r="AT699" s="1760">
        <v>1000</v>
      </c>
      <c r="AU699" s="1758" t="s">
        <v>775</v>
      </c>
      <c r="AV699" s="1758">
        <v>0</v>
      </c>
      <c r="AW699" s="1758" t="s">
        <v>775</v>
      </c>
      <c r="AX699" s="1758" t="s">
        <v>775</v>
      </c>
      <c r="AY699" s="1758" t="s">
        <v>775</v>
      </c>
      <c r="AZ699" s="1758" t="s">
        <v>775</v>
      </c>
      <c r="BA699" s="1758" t="s">
        <v>775</v>
      </c>
      <c r="BB699" s="1758" t="s">
        <v>775</v>
      </c>
      <c r="BC699" t="s">
        <v>775</v>
      </c>
      <c r="BD699" t="s">
        <v>775</v>
      </c>
    </row>
    <row r="700" spans="40:56" ht="12" customHeight="1">
      <c r="AN700" t="str">
        <f t="shared" si="20"/>
        <v>4197406NULL</v>
      </c>
      <c r="AO700" t="str">
        <f t="shared" si="21"/>
        <v>4197406NULL</v>
      </c>
      <c r="AP700" s="1758" t="s">
        <v>774</v>
      </c>
      <c r="AQ700" s="1759">
        <v>4197406</v>
      </c>
      <c r="AR700" s="1758" t="s">
        <v>775</v>
      </c>
      <c r="AS700" s="1758">
        <v>19100</v>
      </c>
      <c r="AT700" s="1760">
        <v>19100</v>
      </c>
      <c r="AU700" s="1758" t="s">
        <v>775</v>
      </c>
      <c r="AV700" s="1758">
        <v>0</v>
      </c>
      <c r="AW700" s="1758" t="s">
        <v>775</v>
      </c>
      <c r="AX700" s="1758" t="s">
        <v>775</v>
      </c>
      <c r="AY700" s="1758" t="s">
        <v>775</v>
      </c>
      <c r="AZ700" s="1758" t="s">
        <v>775</v>
      </c>
      <c r="BA700" s="1758" t="s">
        <v>775</v>
      </c>
      <c r="BB700" s="1758" t="s">
        <v>775</v>
      </c>
      <c r="BC700" t="s">
        <v>775</v>
      </c>
      <c r="BD700" t="s">
        <v>775</v>
      </c>
    </row>
    <row r="701" spans="40:56" ht="12" customHeight="1">
      <c r="AN701" t="str">
        <f t="shared" si="20"/>
        <v>4196804NULL</v>
      </c>
      <c r="AO701" t="str">
        <f t="shared" si="21"/>
        <v>4196804NULL</v>
      </c>
      <c r="AP701" s="1758" t="s">
        <v>774</v>
      </c>
      <c r="AQ701" s="1759">
        <v>4196804</v>
      </c>
      <c r="AR701" s="1758" t="s">
        <v>775</v>
      </c>
      <c r="AS701" s="1758">
        <v>12800</v>
      </c>
      <c r="AT701" s="1760">
        <v>12800</v>
      </c>
      <c r="AU701" s="1758" t="s">
        <v>775</v>
      </c>
      <c r="AV701" s="1758">
        <v>0</v>
      </c>
      <c r="AW701" s="1758" t="s">
        <v>775</v>
      </c>
      <c r="AX701" s="1758" t="s">
        <v>775</v>
      </c>
      <c r="AY701" s="1758" t="s">
        <v>775</v>
      </c>
      <c r="AZ701" s="1758" t="s">
        <v>775</v>
      </c>
      <c r="BA701" s="1758" t="s">
        <v>775</v>
      </c>
      <c r="BB701" s="1758" t="s">
        <v>775</v>
      </c>
      <c r="BC701" t="s">
        <v>775</v>
      </c>
      <c r="BD701" t="s">
        <v>775</v>
      </c>
    </row>
    <row r="702" spans="40:56" ht="12" customHeight="1">
      <c r="AN702" t="str">
        <f t="shared" si="20"/>
        <v>4196606NULL</v>
      </c>
      <c r="AO702" t="str">
        <f t="shared" si="21"/>
        <v>4196606NULL</v>
      </c>
      <c r="AP702" s="1758" t="s">
        <v>774</v>
      </c>
      <c r="AQ702" s="1759">
        <v>4196606</v>
      </c>
      <c r="AR702" s="1758" t="s">
        <v>775</v>
      </c>
      <c r="AS702" s="1758">
        <v>4300</v>
      </c>
      <c r="AT702" s="1759">
        <v>4300</v>
      </c>
      <c r="AU702" s="1758" t="s">
        <v>775</v>
      </c>
      <c r="AV702" s="1758">
        <v>0</v>
      </c>
      <c r="AW702" s="1758" t="s">
        <v>775</v>
      </c>
      <c r="AX702" s="1758" t="s">
        <v>775</v>
      </c>
      <c r="AY702" s="1758" t="s">
        <v>775</v>
      </c>
      <c r="AZ702" s="1758" t="s">
        <v>775</v>
      </c>
      <c r="BA702" s="1758" t="s">
        <v>775</v>
      </c>
      <c r="BB702" s="1758" t="s">
        <v>775</v>
      </c>
      <c r="BC702" t="s">
        <v>775</v>
      </c>
      <c r="BD702" t="s">
        <v>775</v>
      </c>
    </row>
    <row r="703" spans="40:56" ht="12" customHeight="1">
      <c r="AN703" t="str">
        <f t="shared" si="20"/>
        <v>4196507NULL</v>
      </c>
      <c r="AO703" t="str">
        <f t="shared" si="21"/>
        <v>4196507NULL</v>
      </c>
      <c r="AP703" s="1758" t="s">
        <v>774</v>
      </c>
      <c r="AQ703" s="1759">
        <v>4196507</v>
      </c>
      <c r="AR703" s="1758" t="s">
        <v>775</v>
      </c>
      <c r="AS703" s="1758">
        <v>39920</v>
      </c>
      <c r="AT703" s="1759">
        <v>39920</v>
      </c>
      <c r="AU703" s="1758" t="s">
        <v>775</v>
      </c>
      <c r="AV703" s="1758">
        <v>0</v>
      </c>
      <c r="AW703" s="1758" t="s">
        <v>775</v>
      </c>
      <c r="AX703" s="1758" t="s">
        <v>775</v>
      </c>
      <c r="AY703" s="1758" t="s">
        <v>775</v>
      </c>
      <c r="AZ703" s="1758" t="s">
        <v>775</v>
      </c>
      <c r="BA703" s="1758" t="s">
        <v>775</v>
      </c>
      <c r="BB703" s="1758" t="s">
        <v>775</v>
      </c>
      <c r="BC703" t="s">
        <v>775</v>
      </c>
      <c r="BD703" t="s">
        <v>775</v>
      </c>
    </row>
    <row r="704" spans="40:56" ht="12" customHeight="1">
      <c r="AN704" t="str">
        <f t="shared" si="20"/>
        <v>4196309NULL</v>
      </c>
      <c r="AO704" t="str">
        <f t="shared" si="21"/>
        <v>4196309NULL</v>
      </c>
      <c r="AP704" s="1758" t="s">
        <v>774</v>
      </c>
      <c r="AQ704" s="1759">
        <v>4196309</v>
      </c>
      <c r="AR704" s="1758" t="s">
        <v>775</v>
      </c>
      <c r="AS704" s="1758">
        <v>4500</v>
      </c>
      <c r="AT704" s="1759">
        <v>4500</v>
      </c>
      <c r="AU704" s="1758" t="s">
        <v>775</v>
      </c>
      <c r="AV704" s="1758">
        <v>0</v>
      </c>
      <c r="AW704" s="1758" t="s">
        <v>775</v>
      </c>
      <c r="AX704" s="1758" t="s">
        <v>775</v>
      </c>
      <c r="AY704" s="1758" t="s">
        <v>775</v>
      </c>
      <c r="AZ704" s="1758" t="s">
        <v>775</v>
      </c>
      <c r="BA704" s="1758" t="s">
        <v>775</v>
      </c>
      <c r="BB704" s="1758" t="s">
        <v>775</v>
      </c>
      <c r="BC704" t="s">
        <v>775</v>
      </c>
      <c r="BD704" t="s">
        <v>775</v>
      </c>
    </row>
    <row r="705" spans="40:56" ht="12" customHeight="1">
      <c r="AN705" t="str">
        <f t="shared" si="20"/>
        <v>4210233NULL</v>
      </c>
      <c r="AO705" t="str">
        <f t="shared" si="21"/>
        <v>4210233NULL</v>
      </c>
      <c r="AP705" s="1758" t="s">
        <v>774</v>
      </c>
      <c r="AQ705" s="1759">
        <v>4210233</v>
      </c>
      <c r="AR705" s="1758" t="s">
        <v>775</v>
      </c>
      <c r="AS705" s="1758">
        <v>40310</v>
      </c>
      <c r="AT705" s="1759">
        <v>40310</v>
      </c>
      <c r="AU705" s="1758" t="s">
        <v>775</v>
      </c>
      <c r="AV705" s="1758">
        <v>0</v>
      </c>
      <c r="AW705" s="1758" t="s">
        <v>775</v>
      </c>
      <c r="AX705" s="1758" t="s">
        <v>775</v>
      </c>
      <c r="AY705" s="1758" t="s">
        <v>775</v>
      </c>
      <c r="AZ705" s="1758" t="s">
        <v>775</v>
      </c>
      <c r="BA705" s="1758" t="s">
        <v>775</v>
      </c>
      <c r="BB705" s="1758" t="s">
        <v>775</v>
      </c>
      <c r="BC705" t="s">
        <v>775</v>
      </c>
      <c r="BD705" t="s">
        <v>775</v>
      </c>
    </row>
    <row r="706" spans="40:56" ht="12" customHeight="1">
      <c r="AN706" t="str">
        <f t="shared" si="20"/>
        <v>41128841306869722</v>
      </c>
      <c r="AO706" t="str">
        <f t="shared" si="21"/>
        <v>4112884100724200</v>
      </c>
      <c r="AP706" s="1758" t="s">
        <v>774</v>
      </c>
      <c r="AQ706" s="1759">
        <v>4112884</v>
      </c>
      <c r="AR706" s="1758" t="s">
        <v>775</v>
      </c>
      <c r="AS706" s="1758">
        <v>10600</v>
      </c>
      <c r="AT706" s="1759">
        <v>10600</v>
      </c>
      <c r="AU706" s="1758">
        <v>1306869722</v>
      </c>
      <c r="AV706" s="1758">
        <v>1306869722</v>
      </c>
      <c r="AW706" s="1758">
        <v>100724200</v>
      </c>
      <c r="AX706" s="1758" t="s">
        <v>775</v>
      </c>
      <c r="AY706" s="1758" t="s">
        <v>775</v>
      </c>
      <c r="AZ706" s="1758" t="s">
        <v>775</v>
      </c>
      <c r="BA706" s="1758" t="s">
        <v>775</v>
      </c>
      <c r="BB706" s="1758" t="s">
        <v>775</v>
      </c>
      <c r="BC706" t="s">
        <v>775</v>
      </c>
      <c r="BD706" t="s">
        <v>775</v>
      </c>
    </row>
    <row r="707" spans="40:56" ht="12" customHeight="1">
      <c r="AN707" t="str">
        <f t="shared" si="20"/>
        <v>41153511215966312</v>
      </c>
      <c r="AO707" t="str">
        <f t="shared" si="21"/>
        <v>4115351200574800</v>
      </c>
      <c r="AP707" s="1748" t="s">
        <v>774</v>
      </c>
      <c r="AQ707" s="1749">
        <v>4115351</v>
      </c>
      <c r="AR707" s="1748" t="s">
        <v>775</v>
      </c>
      <c r="AS707" s="1748">
        <v>15700</v>
      </c>
      <c r="AT707" s="1749">
        <v>15700</v>
      </c>
      <c r="AU707" s="1748">
        <v>1215966312</v>
      </c>
      <c r="AV707" s="1748">
        <v>1215966312</v>
      </c>
      <c r="AW707" s="1748">
        <v>200574800</v>
      </c>
      <c r="AX707" s="1748" t="s">
        <v>775</v>
      </c>
      <c r="AY707" s="1748" t="s">
        <v>775</v>
      </c>
      <c r="AZ707" s="1748" t="s">
        <v>775</v>
      </c>
      <c r="BA707" s="1748" t="s">
        <v>775</v>
      </c>
      <c r="BB707" s="1748" t="s">
        <v>775</v>
      </c>
      <c r="BC707" t="s">
        <v>775</v>
      </c>
      <c r="BD707" t="s">
        <v>775</v>
      </c>
    </row>
    <row r="708" spans="40:56" ht="12.75">
      <c r="AN708" t="str">
        <f t="shared" si="20"/>
        <v>41146531306869722</v>
      </c>
      <c r="AO708" t="str">
        <f t="shared" si="21"/>
        <v>4114653100724200</v>
      </c>
      <c r="AP708" t="s">
        <v>774</v>
      </c>
      <c r="AQ708">
        <v>4114653</v>
      </c>
      <c r="AR708" t="s">
        <v>775</v>
      </c>
      <c r="AS708">
        <v>41030</v>
      </c>
      <c r="AT708">
        <v>41030</v>
      </c>
      <c r="AU708">
        <v>1306869722</v>
      </c>
      <c r="AV708">
        <v>1306869722</v>
      </c>
      <c r="AW708">
        <v>100724200</v>
      </c>
      <c r="AX708" t="s">
        <v>775</v>
      </c>
      <c r="AY708" t="s">
        <v>775</v>
      </c>
      <c r="AZ708" t="s">
        <v>775</v>
      </c>
      <c r="BA708" t="s">
        <v>775</v>
      </c>
      <c r="BB708" t="s">
        <v>775</v>
      </c>
      <c r="BC708" t="s">
        <v>775</v>
      </c>
      <c r="BD708" t="s">
        <v>775</v>
      </c>
    </row>
    <row r="709" spans="40:56" ht="12.75">
      <c r="AN709" t="str">
        <f aca="true" t="shared" si="22" ref="AN709:AN772">AQ709&amp;AU709</f>
        <v>41124471487651121</v>
      </c>
      <c r="AO709" t="str">
        <f aca="true" t="shared" si="23" ref="AO709:AO772">AQ709&amp;AW709</f>
        <v>4112447101152000</v>
      </c>
      <c r="AP709" t="s">
        <v>774</v>
      </c>
      <c r="AQ709">
        <v>4112447</v>
      </c>
      <c r="AR709" t="s">
        <v>775</v>
      </c>
      <c r="AS709">
        <v>40670</v>
      </c>
      <c r="AT709">
        <v>40670</v>
      </c>
      <c r="AU709">
        <v>1487651121</v>
      </c>
      <c r="AV709">
        <v>1487651121</v>
      </c>
      <c r="AW709">
        <v>101152000</v>
      </c>
      <c r="AX709" t="s">
        <v>775</v>
      </c>
      <c r="AY709" t="s">
        <v>775</v>
      </c>
      <c r="AZ709" t="s">
        <v>775</v>
      </c>
      <c r="BA709" t="s">
        <v>775</v>
      </c>
      <c r="BB709" t="s">
        <v>775</v>
      </c>
      <c r="BC709" t="s">
        <v>775</v>
      </c>
      <c r="BD709" t="s">
        <v>775</v>
      </c>
    </row>
    <row r="710" spans="40:56" ht="12.75">
      <c r="AN710" t="str">
        <f t="shared" si="22"/>
        <v>41146451245227131</v>
      </c>
      <c r="AO710" t="str">
        <f t="shared" si="23"/>
        <v>4114645100575600</v>
      </c>
      <c r="AP710" t="s">
        <v>774</v>
      </c>
      <c r="AQ710">
        <v>4114645</v>
      </c>
      <c r="AR710" t="s">
        <v>775</v>
      </c>
      <c r="AS710">
        <v>1600</v>
      </c>
      <c r="AT710">
        <v>1600</v>
      </c>
      <c r="AU710">
        <v>1245227131</v>
      </c>
      <c r="AV710">
        <v>1245227131</v>
      </c>
      <c r="AW710">
        <v>100575600</v>
      </c>
      <c r="AX710" t="s">
        <v>775</v>
      </c>
      <c r="AY710" t="s">
        <v>775</v>
      </c>
      <c r="AZ710" t="s">
        <v>775</v>
      </c>
      <c r="BA710" t="s">
        <v>775</v>
      </c>
      <c r="BB710" t="s">
        <v>775</v>
      </c>
      <c r="BC710" t="s">
        <v>775</v>
      </c>
      <c r="BD710" t="s">
        <v>775</v>
      </c>
    </row>
    <row r="711" spans="40:41" ht="12.75">
      <c r="AN711">
        <f t="shared" si="22"/>
      </c>
      <c r="AO711">
        <f t="shared" si="23"/>
      </c>
    </row>
    <row r="712" spans="40:41" ht="12.75">
      <c r="AN712">
        <f t="shared" si="22"/>
      </c>
      <c r="AO712">
        <f t="shared" si="23"/>
      </c>
    </row>
    <row r="713" spans="40:41" ht="12.75">
      <c r="AN713">
        <f t="shared" si="22"/>
      </c>
      <c r="AO713">
        <f t="shared" si="23"/>
      </c>
    </row>
    <row r="714" spans="40:41" ht="12.75">
      <c r="AN714">
        <f t="shared" si="22"/>
      </c>
      <c r="AO714">
        <f t="shared" si="23"/>
      </c>
    </row>
    <row r="715" spans="40:41" ht="12.75">
      <c r="AN715">
        <f t="shared" si="22"/>
      </c>
      <c r="AO715">
        <f t="shared" si="23"/>
      </c>
    </row>
    <row r="716" spans="40:41" ht="12.75">
      <c r="AN716">
        <f t="shared" si="22"/>
      </c>
      <c r="AO716">
        <f t="shared" si="23"/>
      </c>
    </row>
    <row r="717" spans="40:41" ht="12.75">
      <c r="AN717">
        <f t="shared" si="22"/>
      </c>
      <c r="AO717">
        <f t="shared" si="23"/>
      </c>
    </row>
    <row r="718" spans="40:41" ht="12.75">
      <c r="AN718">
        <f t="shared" si="22"/>
      </c>
      <c r="AO718">
        <f t="shared" si="23"/>
      </c>
    </row>
    <row r="719" spans="40:41" ht="12.75">
      <c r="AN719">
        <f t="shared" si="22"/>
      </c>
      <c r="AO719">
        <f t="shared" si="23"/>
      </c>
    </row>
    <row r="720" spans="40:41" ht="12.75">
      <c r="AN720">
        <f t="shared" si="22"/>
      </c>
      <c r="AO720">
        <f t="shared" si="23"/>
      </c>
    </row>
    <row r="721" spans="40:41" ht="12.75">
      <c r="AN721">
        <f t="shared" si="22"/>
      </c>
      <c r="AO721">
        <f t="shared" si="23"/>
      </c>
    </row>
    <row r="722" spans="40:41" ht="12.75">
      <c r="AN722">
        <f t="shared" si="22"/>
      </c>
      <c r="AO722">
        <f t="shared" si="23"/>
      </c>
    </row>
    <row r="723" spans="40:41" ht="12.75">
      <c r="AN723">
        <f t="shared" si="22"/>
      </c>
      <c r="AO723">
        <f t="shared" si="23"/>
      </c>
    </row>
    <row r="724" spans="40:41" ht="12.75">
      <c r="AN724">
        <f t="shared" si="22"/>
      </c>
      <c r="AO724">
        <f t="shared" si="23"/>
      </c>
    </row>
    <row r="725" spans="40:41" ht="12.75">
      <c r="AN725">
        <f t="shared" si="22"/>
      </c>
      <c r="AO725">
        <f t="shared" si="23"/>
      </c>
    </row>
    <row r="726" spans="40:41" ht="12.75">
      <c r="AN726">
        <f t="shared" si="22"/>
      </c>
      <c r="AO726">
        <f t="shared" si="23"/>
      </c>
    </row>
    <row r="727" spans="40:41" ht="12.75">
      <c r="AN727">
        <f t="shared" si="22"/>
      </c>
      <c r="AO727">
        <f t="shared" si="23"/>
      </c>
    </row>
    <row r="728" spans="40:41" ht="12.75">
      <c r="AN728">
        <f t="shared" si="22"/>
      </c>
      <c r="AO728">
        <f t="shared" si="23"/>
      </c>
    </row>
    <row r="729" spans="40:41" ht="12.75">
      <c r="AN729">
        <f t="shared" si="22"/>
      </c>
      <c r="AO729">
        <f t="shared" si="23"/>
      </c>
    </row>
    <row r="730" spans="40:41" ht="12.75">
      <c r="AN730">
        <f t="shared" si="22"/>
      </c>
      <c r="AO730">
        <f t="shared" si="23"/>
      </c>
    </row>
    <row r="731" spans="40:41" ht="12.75">
      <c r="AN731">
        <f t="shared" si="22"/>
      </c>
      <c r="AO731">
        <f t="shared" si="23"/>
      </c>
    </row>
    <row r="732" spans="40:41" ht="12.75">
      <c r="AN732">
        <f t="shared" si="22"/>
      </c>
      <c r="AO732">
        <f t="shared" si="23"/>
      </c>
    </row>
    <row r="733" spans="40:41" ht="12.75">
      <c r="AN733">
        <f t="shared" si="22"/>
      </c>
      <c r="AO733">
        <f t="shared" si="23"/>
      </c>
    </row>
    <row r="734" spans="40:41" ht="12.75">
      <c r="AN734">
        <f t="shared" si="22"/>
      </c>
      <c r="AO734">
        <f t="shared" si="23"/>
      </c>
    </row>
    <row r="735" spans="40:41" ht="12.75">
      <c r="AN735">
        <f t="shared" si="22"/>
      </c>
      <c r="AO735">
        <f t="shared" si="23"/>
      </c>
    </row>
    <row r="736" spans="40:41" ht="12.75">
      <c r="AN736">
        <f t="shared" si="22"/>
      </c>
      <c r="AO736">
        <f t="shared" si="23"/>
      </c>
    </row>
    <row r="737" spans="40:41" ht="12.75">
      <c r="AN737">
        <f t="shared" si="22"/>
      </c>
      <c r="AO737">
        <f t="shared" si="23"/>
      </c>
    </row>
    <row r="738" spans="40:41" ht="12.75">
      <c r="AN738">
        <f t="shared" si="22"/>
      </c>
      <c r="AO738">
        <f t="shared" si="23"/>
      </c>
    </row>
    <row r="739" spans="40:41" ht="12.75">
      <c r="AN739">
        <f t="shared" si="22"/>
      </c>
      <c r="AO739">
        <f t="shared" si="23"/>
      </c>
    </row>
    <row r="740" spans="40:41" ht="12.75">
      <c r="AN740">
        <f t="shared" si="22"/>
      </c>
      <c r="AO740">
        <f t="shared" si="23"/>
      </c>
    </row>
    <row r="741" spans="40:41" ht="12.75">
      <c r="AN741">
        <f t="shared" si="22"/>
      </c>
      <c r="AO741">
        <f t="shared" si="23"/>
      </c>
    </row>
    <row r="742" spans="40:41" ht="12.75">
      <c r="AN742">
        <f t="shared" si="22"/>
      </c>
      <c r="AO742">
        <f t="shared" si="23"/>
      </c>
    </row>
    <row r="743" spans="40:41" ht="12.75">
      <c r="AN743">
        <f t="shared" si="22"/>
      </c>
      <c r="AO743">
        <f t="shared" si="23"/>
      </c>
    </row>
    <row r="744" spans="40:41" ht="12.75">
      <c r="AN744">
        <f t="shared" si="22"/>
      </c>
      <c r="AO744">
        <f t="shared" si="23"/>
      </c>
    </row>
    <row r="745" spans="40:41" ht="12.75">
      <c r="AN745">
        <f t="shared" si="22"/>
      </c>
      <c r="AO745">
        <f t="shared" si="23"/>
      </c>
    </row>
    <row r="746" spans="40:41" ht="12.75">
      <c r="AN746">
        <f t="shared" si="22"/>
      </c>
      <c r="AO746">
        <f t="shared" si="23"/>
      </c>
    </row>
    <row r="747" spans="40:41" ht="12.75">
      <c r="AN747">
        <f t="shared" si="22"/>
      </c>
      <c r="AO747">
        <f t="shared" si="23"/>
      </c>
    </row>
    <row r="748" spans="40:41" ht="12.75">
      <c r="AN748">
        <f t="shared" si="22"/>
      </c>
      <c r="AO748">
        <f t="shared" si="23"/>
      </c>
    </row>
    <row r="749" spans="40:41" ht="12.75">
      <c r="AN749">
        <f t="shared" si="22"/>
      </c>
      <c r="AO749">
        <f t="shared" si="23"/>
      </c>
    </row>
    <row r="750" spans="40:41" ht="12.75">
      <c r="AN750">
        <f t="shared" si="22"/>
      </c>
      <c r="AO750">
        <f t="shared" si="23"/>
      </c>
    </row>
    <row r="751" spans="40:41" ht="12.75">
      <c r="AN751">
        <f t="shared" si="22"/>
      </c>
      <c r="AO751">
        <f t="shared" si="23"/>
      </c>
    </row>
    <row r="752" spans="40:41" ht="12.75">
      <c r="AN752">
        <f t="shared" si="22"/>
      </c>
      <c r="AO752">
        <f t="shared" si="23"/>
      </c>
    </row>
    <row r="753" spans="40:41" ht="12.75">
      <c r="AN753">
        <f t="shared" si="22"/>
      </c>
      <c r="AO753">
        <f t="shared" si="23"/>
      </c>
    </row>
    <row r="754" spans="40:41" ht="12.75">
      <c r="AN754">
        <f t="shared" si="22"/>
      </c>
      <c r="AO754">
        <f t="shared" si="23"/>
      </c>
    </row>
    <row r="755" spans="40:41" ht="12.75">
      <c r="AN755">
        <f t="shared" si="22"/>
      </c>
      <c r="AO755">
        <f t="shared" si="23"/>
      </c>
    </row>
    <row r="756" spans="40:41" ht="12.75">
      <c r="AN756">
        <f t="shared" si="22"/>
      </c>
      <c r="AO756">
        <f t="shared" si="23"/>
      </c>
    </row>
    <row r="757" spans="40:41" ht="12.75">
      <c r="AN757">
        <f t="shared" si="22"/>
      </c>
      <c r="AO757">
        <f t="shared" si="23"/>
      </c>
    </row>
    <row r="758" spans="40:41" ht="12.75">
      <c r="AN758">
        <f t="shared" si="22"/>
      </c>
      <c r="AO758">
        <f t="shared" si="23"/>
      </c>
    </row>
    <row r="759" spans="40:41" ht="12.75">
      <c r="AN759">
        <f t="shared" si="22"/>
      </c>
      <c r="AO759">
        <f t="shared" si="23"/>
      </c>
    </row>
    <row r="760" spans="40:41" ht="12.75">
      <c r="AN760">
        <f t="shared" si="22"/>
      </c>
      <c r="AO760">
        <f t="shared" si="23"/>
      </c>
    </row>
    <row r="761" spans="40:41" ht="12.75">
      <c r="AN761">
        <f t="shared" si="22"/>
      </c>
      <c r="AO761">
        <f t="shared" si="23"/>
      </c>
    </row>
    <row r="762" spans="40:41" ht="12.75">
      <c r="AN762">
        <f t="shared" si="22"/>
      </c>
      <c r="AO762">
        <f t="shared" si="23"/>
      </c>
    </row>
    <row r="763" spans="40:41" ht="12.75">
      <c r="AN763">
        <f t="shared" si="22"/>
      </c>
      <c r="AO763">
        <f t="shared" si="23"/>
      </c>
    </row>
    <row r="764" spans="40:41" ht="12.75">
      <c r="AN764">
        <f t="shared" si="22"/>
      </c>
      <c r="AO764">
        <f t="shared" si="23"/>
      </c>
    </row>
    <row r="765" spans="40:41" ht="12.75">
      <c r="AN765">
        <f t="shared" si="22"/>
      </c>
      <c r="AO765">
        <f t="shared" si="23"/>
      </c>
    </row>
    <row r="766" spans="40:41" ht="12.75">
      <c r="AN766">
        <f t="shared" si="22"/>
      </c>
      <c r="AO766">
        <f t="shared" si="23"/>
      </c>
    </row>
    <row r="767" spans="40:41" ht="12.75">
      <c r="AN767">
        <f t="shared" si="22"/>
      </c>
      <c r="AO767">
        <f t="shared" si="23"/>
      </c>
    </row>
    <row r="768" spans="40:41" ht="12.75">
      <c r="AN768">
        <f t="shared" si="22"/>
      </c>
      <c r="AO768">
        <f t="shared" si="23"/>
      </c>
    </row>
    <row r="769" spans="40:41" ht="12.75">
      <c r="AN769">
        <f t="shared" si="22"/>
      </c>
      <c r="AO769">
        <f t="shared" si="23"/>
      </c>
    </row>
    <row r="770" spans="40:41" ht="12.75">
      <c r="AN770">
        <f t="shared" si="22"/>
      </c>
      <c r="AO770">
        <f t="shared" si="23"/>
      </c>
    </row>
    <row r="771" spans="40:41" ht="12.75">
      <c r="AN771">
        <f t="shared" si="22"/>
      </c>
      <c r="AO771">
        <f t="shared" si="23"/>
      </c>
    </row>
    <row r="772" spans="40:41" ht="12.75">
      <c r="AN772">
        <f t="shared" si="22"/>
      </c>
      <c r="AO772">
        <f t="shared" si="23"/>
      </c>
    </row>
    <row r="773" spans="40:41" ht="12.75">
      <c r="AN773">
        <f aca="true" t="shared" si="24" ref="AN773:AN836">AQ773&amp;AU773</f>
      </c>
      <c r="AO773">
        <f aca="true" t="shared" si="25" ref="AO773:AO836">AQ773&amp;AW773</f>
      </c>
    </row>
    <row r="774" spans="40:41" ht="12.75">
      <c r="AN774">
        <f t="shared" si="24"/>
      </c>
      <c r="AO774">
        <f t="shared" si="25"/>
      </c>
    </row>
    <row r="775" spans="40:41" ht="12.75">
      <c r="AN775">
        <f t="shared" si="24"/>
      </c>
      <c r="AO775">
        <f t="shared" si="25"/>
      </c>
    </row>
    <row r="776" spans="40:41" ht="12.75">
      <c r="AN776">
        <f t="shared" si="24"/>
      </c>
      <c r="AO776">
        <f t="shared" si="25"/>
      </c>
    </row>
    <row r="777" spans="40:41" ht="12.75">
      <c r="AN777">
        <f t="shared" si="24"/>
      </c>
      <c r="AO777">
        <f t="shared" si="25"/>
      </c>
    </row>
    <row r="778" spans="40:41" ht="12.75">
      <c r="AN778">
        <f t="shared" si="24"/>
      </c>
      <c r="AO778">
        <f t="shared" si="25"/>
      </c>
    </row>
    <row r="779" spans="40:41" ht="12.75">
      <c r="AN779">
        <f t="shared" si="24"/>
      </c>
      <c r="AO779">
        <f t="shared" si="25"/>
      </c>
    </row>
    <row r="780" spans="40:41" ht="12.75">
      <c r="AN780">
        <f t="shared" si="24"/>
      </c>
      <c r="AO780">
        <f t="shared" si="25"/>
      </c>
    </row>
    <row r="781" spans="40:41" ht="12.75">
      <c r="AN781">
        <f t="shared" si="24"/>
      </c>
      <c r="AO781">
        <f t="shared" si="25"/>
      </c>
    </row>
    <row r="782" spans="40:41" ht="12.75">
      <c r="AN782">
        <f t="shared" si="24"/>
      </c>
      <c r="AO782">
        <f t="shared" si="25"/>
      </c>
    </row>
    <row r="783" spans="40:41" ht="12.75">
      <c r="AN783">
        <f t="shared" si="24"/>
      </c>
      <c r="AO783">
        <f t="shared" si="25"/>
      </c>
    </row>
    <row r="784" spans="40:41" ht="12.75">
      <c r="AN784">
        <f t="shared" si="24"/>
      </c>
      <c r="AO784">
        <f t="shared" si="25"/>
      </c>
    </row>
    <row r="785" spans="40:41" ht="12.75">
      <c r="AN785">
        <f t="shared" si="24"/>
      </c>
      <c r="AO785">
        <f t="shared" si="25"/>
      </c>
    </row>
    <row r="786" spans="40:41" ht="12.75">
      <c r="AN786">
        <f t="shared" si="24"/>
      </c>
      <c r="AO786">
        <f t="shared" si="25"/>
      </c>
    </row>
    <row r="787" spans="40:41" ht="12.75">
      <c r="AN787">
        <f t="shared" si="24"/>
      </c>
      <c r="AO787">
        <f t="shared" si="25"/>
      </c>
    </row>
    <row r="788" spans="40:41" ht="12.75">
      <c r="AN788">
        <f t="shared" si="24"/>
      </c>
      <c r="AO788">
        <f t="shared" si="25"/>
      </c>
    </row>
    <row r="789" spans="40:41" ht="12.75">
      <c r="AN789">
        <f t="shared" si="24"/>
      </c>
      <c r="AO789">
        <f t="shared" si="25"/>
      </c>
    </row>
    <row r="790" spans="40:41" ht="12.75">
      <c r="AN790">
        <f t="shared" si="24"/>
      </c>
      <c r="AO790">
        <f t="shared" si="25"/>
      </c>
    </row>
    <row r="791" spans="40:41" ht="12.75">
      <c r="AN791">
        <f t="shared" si="24"/>
      </c>
      <c r="AO791">
        <f t="shared" si="25"/>
      </c>
    </row>
    <row r="792" spans="40:41" ht="12.75">
      <c r="AN792">
        <f t="shared" si="24"/>
      </c>
      <c r="AO792">
        <f t="shared" si="25"/>
      </c>
    </row>
    <row r="793" spans="40:41" ht="12.75">
      <c r="AN793">
        <f t="shared" si="24"/>
      </c>
      <c r="AO793">
        <f t="shared" si="25"/>
      </c>
    </row>
    <row r="794" spans="40:41" ht="12.75">
      <c r="AN794">
        <f t="shared" si="24"/>
      </c>
      <c r="AO794">
        <f t="shared" si="25"/>
      </c>
    </row>
    <row r="795" spans="40:41" ht="12.75">
      <c r="AN795">
        <f t="shared" si="24"/>
      </c>
      <c r="AO795">
        <f t="shared" si="25"/>
      </c>
    </row>
    <row r="796" spans="40:41" ht="12.75">
      <c r="AN796">
        <f t="shared" si="24"/>
      </c>
      <c r="AO796">
        <f t="shared" si="25"/>
      </c>
    </row>
    <row r="797" spans="40:41" ht="12.75">
      <c r="AN797">
        <f t="shared" si="24"/>
      </c>
      <c r="AO797">
        <f t="shared" si="25"/>
      </c>
    </row>
    <row r="798" spans="40:41" ht="12.75">
      <c r="AN798">
        <f t="shared" si="24"/>
      </c>
      <c r="AO798">
        <f t="shared" si="25"/>
      </c>
    </row>
    <row r="799" spans="40:41" ht="12.75">
      <c r="AN799">
        <f t="shared" si="24"/>
      </c>
      <c r="AO799">
        <f t="shared" si="25"/>
      </c>
    </row>
    <row r="800" spans="40:41" ht="12.75">
      <c r="AN800">
        <f t="shared" si="24"/>
      </c>
      <c r="AO800">
        <f t="shared" si="25"/>
      </c>
    </row>
    <row r="801" spans="40:41" ht="12.75">
      <c r="AN801">
        <f t="shared" si="24"/>
      </c>
      <c r="AO801">
        <f t="shared" si="25"/>
      </c>
    </row>
    <row r="802" spans="40:41" ht="12.75">
      <c r="AN802">
        <f t="shared" si="24"/>
      </c>
      <c r="AO802">
        <f t="shared" si="25"/>
      </c>
    </row>
    <row r="803" spans="40:41" ht="12.75">
      <c r="AN803">
        <f t="shared" si="24"/>
      </c>
      <c r="AO803">
        <f t="shared" si="25"/>
      </c>
    </row>
    <row r="804" spans="40:41" ht="12.75">
      <c r="AN804">
        <f t="shared" si="24"/>
      </c>
      <c r="AO804">
        <f t="shared" si="25"/>
      </c>
    </row>
    <row r="805" spans="40:41" ht="12.75">
      <c r="AN805">
        <f t="shared" si="24"/>
      </c>
      <c r="AO805">
        <f t="shared" si="25"/>
      </c>
    </row>
    <row r="806" spans="40:41" ht="12.75">
      <c r="AN806">
        <f t="shared" si="24"/>
      </c>
      <c r="AO806">
        <f t="shared" si="25"/>
      </c>
    </row>
    <row r="807" spans="40:41" ht="12.75">
      <c r="AN807">
        <f t="shared" si="24"/>
      </c>
      <c r="AO807">
        <f t="shared" si="25"/>
      </c>
    </row>
    <row r="808" spans="40:41" ht="12.75">
      <c r="AN808">
        <f t="shared" si="24"/>
      </c>
      <c r="AO808">
        <f t="shared" si="25"/>
      </c>
    </row>
    <row r="809" spans="40:41" ht="12.75">
      <c r="AN809">
        <f t="shared" si="24"/>
      </c>
      <c r="AO809">
        <f t="shared" si="25"/>
      </c>
    </row>
    <row r="810" spans="40:41" ht="12.75">
      <c r="AN810">
        <f t="shared" si="24"/>
      </c>
      <c r="AO810">
        <f t="shared" si="25"/>
      </c>
    </row>
    <row r="811" spans="40:41" ht="12.75">
      <c r="AN811">
        <f t="shared" si="24"/>
      </c>
      <c r="AO811">
        <f t="shared" si="25"/>
      </c>
    </row>
    <row r="812" spans="40:41" ht="12.75">
      <c r="AN812">
        <f t="shared" si="24"/>
      </c>
      <c r="AO812">
        <f t="shared" si="25"/>
      </c>
    </row>
    <row r="813" spans="40:41" ht="12.75">
      <c r="AN813">
        <f t="shared" si="24"/>
      </c>
      <c r="AO813">
        <f t="shared" si="25"/>
      </c>
    </row>
    <row r="814" spans="40:41" ht="12.75">
      <c r="AN814">
        <f t="shared" si="24"/>
      </c>
      <c r="AO814">
        <f t="shared" si="25"/>
      </c>
    </row>
    <row r="815" spans="40:41" ht="12.75">
      <c r="AN815">
        <f t="shared" si="24"/>
      </c>
      <c r="AO815">
        <f t="shared" si="25"/>
      </c>
    </row>
    <row r="816" spans="40:41" ht="12.75">
      <c r="AN816">
        <f t="shared" si="24"/>
      </c>
      <c r="AO816">
        <f t="shared" si="25"/>
      </c>
    </row>
    <row r="817" spans="40:41" ht="12.75">
      <c r="AN817">
        <f t="shared" si="24"/>
      </c>
      <c r="AO817">
        <f t="shared" si="25"/>
      </c>
    </row>
    <row r="818" spans="40:41" ht="12.75">
      <c r="AN818">
        <f t="shared" si="24"/>
      </c>
      <c r="AO818">
        <f t="shared" si="25"/>
      </c>
    </row>
    <row r="819" spans="40:41" ht="12.75">
      <c r="AN819">
        <f t="shared" si="24"/>
      </c>
      <c r="AO819">
        <f t="shared" si="25"/>
      </c>
    </row>
    <row r="820" spans="40:41" ht="12.75">
      <c r="AN820">
        <f t="shared" si="24"/>
      </c>
      <c r="AO820">
        <f t="shared" si="25"/>
      </c>
    </row>
    <row r="821" spans="40:41" ht="12.75">
      <c r="AN821">
        <f t="shared" si="24"/>
      </c>
      <c r="AO821">
        <f t="shared" si="25"/>
      </c>
    </row>
    <row r="822" spans="40:41" ht="12.75">
      <c r="AN822">
        <f t="shared" si="24"/>
      </c>
      <c r="AO822">
        <f t="shared" si="25"/>
      </c>
    </row>
    <row r="823" spans="40:41" ht="12.75">
      <c r="AN823">
        <f t="shared" si="24"/>
      </c>
      <c r="AO823">
        <f t="shared" si="25"/>
      </c>
    </row>
    <row r="824" spans="40:41" ht="12.75">
      <c r="AN824">
        <f t="shared" si="24"/>
      </c>
      <c r="AO824">
        <f t="shared" si="25"/>
      </c>
    </row>
    <row r="825" spans="40:41" ht="12.75">
      <c r="AN825">
        <f t="shared" si="24"/>
      </c>
      <c r="AO825">
        <f t="shared" si="25"/>
      </c>
    </row>
    <row r="826" spans="40:41" ht="12.75">
      <c r="AN826">
        <f t="shared" si="24"/>
      </c>
      <c r="AO826">
        <f t="shared" si="25"/>
      </c>
    </row>
    <row r="827" spans="40:41" ht="12.75">
      <c r="AN827">
        <f t="shared" si="24"/>
      </c>
      <c r="AO827">
        <f t="shared" si="25"/>
      </c>
    </row>
    <row r="828" spans="40:41" ht="12.75">
      <c r="AN828">
        <f t="shared" si="24"/>
      </c>
      <c r="AO828">
        <f t="shared" si="25"/>
      </c>
    </row>
    <row r="829" spans="40:41" ht="12.75">
      <c r="AN829">
        <f t="shared" si="24"/>
      </c>
      <c r="AO829">
        <f t="shared" si="25"/>
      </c>
    </row>
    <row r="830" spans="40:41" ht="12.75">
      <c r="AN830">
        <f t="shared" si="24"/>
      </c>
      <c r="AO830">
        <f t="shared" si="25"/>
      </c>
    </row>
    <row r="831" spans="40:41" ht="12.75">
      <c r="AN831">
        <f t="shared" si="24"/>
      </c>
      <c r="AO831">
        <f t="shared" si="25"/>
      </c>
    </row>
    <row r="832" spans="40:41" ht="12.75">
      <c r="AN832">
        <f t="shared" si="24"/>
      </c>
      <c r="AO832">
        <f t="shared" si="25"/>
      </c>
    </row>
    <row r="833" spans="40:41" ht="12.75">
      <c r="AN833">
        <f t="shared" si="24"/>
      </c>
      <c r="AO833">
        <f t="shared" si="25"/>
      </c>
    </row>
    <row r="834" spans="40:41" ht="12.75">
      <c r="AN834">
        <f t="shared" si="24"/>
      </c>
      <c r="AO834">
        <f t="shared" si="25"/>
      </c>
    </row>
    <row r="835" spans="40:41" ht="12.75">
      <c r="AN835">
        <f t="shared" si="24"/>
      </c>
      <c r="AO835">
        <f t="shared" si="25"/>
      </c>
    </row>
    <row r="836" spans="40:41" ht="12.75">
      <c r="AN836">
        <f t="shared" si="24"/>
      </c>
      <c r="AO836">
        <f t="shared" si="25"/>
      </c>
    </row>
    <row r="837" spans="40:41" ht="12.75">
      <c r="AN837">
        <f aca="true" t="shared" si="26" ref="AN837:AN898">AQ837&amp;AU837</f>
      </c>
      <c r="AO837">
        <f aca="true" t="shared" si="27" ref="AO837:AO898">AQ837&amp;AW837</f>
      </c>
    </row>
    <row r="838" spans="40:41" ht="12.75">
      <c r="AN838">
        <f t="shared" si="26"/>
      </c>
      <c r="AO838">
        <f t="shared" si="27"/>
      </c>
    </row>
    <row r="839" spans="40:41" ht="12.75">
      <c r="AN839">
        <f t="shared" si="26"/>
      </c>
      <c r="AO839">
        <f t="shared" si="27"/>
      </c>
    </row>
    <row r="840" spans="40:41" ht="12.75">
      <c r="AN840">
        <f t="shared" si="26"/>
      </c>
      <c r="AO840">
        <f t="shared" si="27"/>
      </c>
    </row>
    <row r="841" spans="40:41" ht="12.75">
      <c r="AN841">
        <f t="shared" si="26"/>
      </c>
      <c r="AO841">
        <f t="shared" si="27"/>
      </c>
    </row>
    <row r="842" spans="40:41" ht="12.75">
      <c r="AN842">
        <f t="shared" si="26"/>
      </c>
      <c r="AO842">
        <f t="shared" si="27"/>
      </c>
    </row>
    <row r="843" spans="40:41" ht="12.75">
      <c r="AN843">
        <f t="shared" si="26"/>
      </c>
      <c r="AO843">
        <f t="shared" si="27"/>
      </c>
    </row>
    <row r="844" spans="40:41" ht="12.75">
      <c r="AN844">
        <f t="shared" si="26"/>
      </c>
      <c r="AO844">
        <f t="shared" si="27"/>
      </c>
    </row>
    <row r="845" spans="40:41" ht="12.75">
      <c r="AN845">
        <f t="shared" si="26"/>
      </c>
      <c r="AO845">
        <f t="shared" si="27"/>
      </c>
    </row>
    <row r="846" spans="40:41" ht="12.75">
      <c r="AN846">
        <f t="shared" si="26"/>
      </c>
      <c r="AO846">
        <f t="shared" si="27"/>
      </c>
    </row>
    <row r="847" spans="40:41" ht="12.75">
      <c r="AN847">
        <f t="shared" si="26"/>
      </c>
      <c r="AO847">
        <f t="shared" si="27"/>
      </c>
    </row>
    <row r="848" spans="40:41" ht="12.75">
      <c r="AN848">
        <f t="shared" si="26"/>
      </c>
      <c r="AO848">
        <f t="shared" si="27"/>
      </c>
    </row>
    <row r="849" spans="40:41" ht="12.75">
      <c r="AN849">
        <f t="shared" si="26"/>
      </c>
      <c r="AO849">
        <f t="shared" si="27"/>
      </c>
    </row>
    <row r="850" spans="40:41" ht="12.75">
      <c r="AN850">
        <f t="shared" si="26"/>
      </c>
      <c r="AO850">
        <f t="shared" si="27"/>
      </c>
    </row>
    <row r="851" spans="40:41" ht="12.75">
      <c r="AN851">
        <f t="shared" si="26"/>
      </c>
      <c r="AO851">
        <f t="shared" si="27"/>
      </c>
    </row>
    <row r="852" spans="40:41" ht="12.75">
      <c r="AN852">
        <f t="shared" si="26"/>
      </c>
      <c r="AO852">
        <f t="shared" si="27"/>
      </c>
    </row>
    <row r="853" spans="40:41" ht="12.75">
      <c r="AN853">
        <f t="shared" si="26"/>
      </c>
      <c r="AO853">
        <f t="shared" si="27"/>
      </c>
    </row>
    <row r="854" spans="40:41" ht="12.75">
      <c r="AN854">
        <f t="shared" si="26"/>
      </c>
      <c r="AO854">
        <f t="shared" si="27"/>
      </c>
    </row>
    <row r="855" spans="40:41" ht="12.75">
      <c r="AN855">
        <f t="shared" si="26"/>
      </c>
      <c r="AO855">
        <f t="shared" si="27"/>
      </c>
    </row>
    <row r="856" spans="40:41" ht="12.75">
      <c r="AN856">
        <f t="shared" si="26"/>
      </c>
      <c r="AO856">
        <f t="shared" si="27"/>
      </c>
    </row>
    <row r="857" spans="40:41" ht="12.75">
      <c r="AN857">
        <f t="shared" si="26"/>
      </c>
      <c r="AO857">
        <f t="shared" si="27"/>
      </c>
    </row>
    <row r="858" spans="40:41" ht="12.75">
      <c r="AN858">
        <f t="shared" si="26"/>
      </c>
      <c r="AO858">
        <f t="shared" si="27"/>
      </c>
    </row>
    <row r="859" spans="40:41" ht="12.75">
      <c r="AN859">
        <f t="shared" si="26"/>
      </c>
      <c r="AO859">
        <f t="shared" si="27"/>
      </c>
    </row>
    <row r="860" spans="40:41" ht="12.75">
      <c r="AN860">
        <f t="shared" si="26"/>
      </c>
      <c r="AO860">
        <f t="shared" si="27"/>
      </c>
    </row>
    <row r="861" spans="40:41" ht="12.75">
      <c r="AN861">
        <f t="shared" si="26"/>
      </c>
      <c r="AO861">
        <f t="shared" si="27"/>
      </c>
    </row>
    <row r="862" spans="40:41" ht="12.75">
      <c r="AN862">
        <f t="shared" si="26"/>
      </c>
      <c r="AO862">
        <f t="shared" si="27"/>
      </c>
    </row>
    <row r="863" spans="40:41" ht="12.75">
      <c r="AN863">
        <f t="shared" si="26"/>
      </c>
      <c r="AO863">
        <f t="shared" si="27"/>
      </c>
    </row>
    <row r="864" spans="40:41" ht="12.75">
      <c r="AN864">
        <f t="shared" si="26"/>
      </c>
      <c r="AO864">
        <f t="shared" si="27"/>
      </c>
    </row>
    <row r="865" spans="40:41" ht="12.75">
      <c r="AN865">
        <f t="shared" si="26"/>
      </c>
      <c r="AO865">
        <f t="shared" si="27"/>
      </c>
    </row>
    <row r="866" spans="40:41" ht="12.75">
      <c r="AN866">
        <f t="shared" si="26"/>
      </c>
      <c r="AO866">
        <f t="shared" si="27"/>
      </c>
    </row>
    <row r="867" spans="40:41" ht="12.75">
      <c r="AN867">
        <f t="shared" si="26"/>
      </c>
      <c r="AO867">
        <f t="shared" si="27"/>
      </c>
    </row>
    <row r="868" spans="40:41" ht="12.75">
      <c r="AN868">
        <f t="shared" si="26"/>
      </c>
      <c r="AO868">
        <f t="shared" si="27"/>
      </c>
    </row>
    <row r="869" spans="40:41" ht="12.75">
      <c r="AN869">
        <f t="shared" si="26"/>
      </c>
      <c r="AO869">
        <f t="shared" si="27"/>
      </c>
    </row>
    <row r="870" spans="40:41" ht="12.75">
      <c r="AN870">
        <f t="shared" si="26"/>
      </c>
      <c r="AO870">
        <f t="shared" si="27"/>
      </c>
    </row>
    <row r="871" spans="40:41" ht="12.75">
      <c r="AN871">
        <f t="shared" si="26"/>
      </c>
      <c r="AO871">
        <f t="shared" si="27"/>
      </c>
    </row>
    <row r="872" spans="40:41" ht="12.75">
      <c r="AN872">
        <f t="shared" si="26"/>
      </c>
      <c r="AO872">
        <f t="shared" si="27"/>
      </c>
    </row>
    <row r="873" spans="40:41" ht="12.75">
      <c r="AN873">
        <f t="shared" si="26"/>
      </c>
      <c r="AO873">
        <f t="shared" si="27"/>
      </c>
    </row>
    <row r="874" spans="40:41" ht="12.75">
      <c r="AN874">
        <f t="shared" si="26"/>
      </c>
      <c r="AO874">
        <f t="shared" si="27"/>
      </c>
    </row>
    <row r="875" spans="40:41" ht="12.75">
      <c r="AN875">
        <f t="shared" si="26"/>
      </c>
      <c r="AO875">
        <f t="shared" si="27"/>
      </c>
    </row>
    <row r="876" spans="40:41" ht="12.75">
      <c r="AN876">
        <f t="shared" si="26"/>
      </c>
      <c r="AO876">
        <f t="shared" si="27"/>
      </c>
    </row>
    <row r="877" spans="40:41" ht="12.75">
      <c r="AN877">
        <f t="shared" si="26"/>
      </c>
      <c r="AO877">
        <f t="shared" si="27"/>
      </c>
    </row>
    <row r="878" spans="40:41" ht="12.75">
      <c r="AN878">
        <f t="shared" si="26"/>
      </c>
      <c r="AO878">
        <f t="shared" si="27"/>
      </c>
    </row>
    <row r="879" spans="40:41" ht="12.75">
      <c r="AN879">
        <f t="shared" si="26"/>
      </c>
      <c r="AO879">
        <f t="shared" si="27"/>
      </c>
    </row>
    <row r="880" spans="40:41" ht="12.75">
      <c r="AN880">
        <f t="shared" si="26"/>
      </c>
      <c r="AO880">
        <f t="shared" si="27"/>
      </c>
    </row>
    <row r="881" spans="40:41" ht="12.75">
      <c r="AN881">
        <f t="shared" si="26"/>
      </c>
      <c r="AO881">
        <f t="shared" si="27"/>
      </c>
    </row>
    <row r="882" spans="40:41" ht="12.75">
      <c r="AN882">
        <f t="shared" si="26"/>
      </c>
      <c r="AO882">
        <f t="shared" si="27"/>
      </c>
    </row>
    <row r="883" spans="40:41" ht="12.75">
      <c r="AN883">
        <f t="shared" si="26"/>
      </c>
      <c r="AO883">
        <f t="shared" si="27"/>
      </c>
    </row>
    <row r="884" spans="40:41" ht="12.75">
      <c r="AN884">
        <f t="shared" si="26"/>
      </c>
      <c r="AO884">
        <f t="shared" si="27"/>
      </c>
    </row>
    <row r="885" spans="40:41" ht="12.75">
      <c r="AN885">
        <f t="shared" si="26"/>
      </c>
      <c r="AO885">
        <f t="shared" si="27"/>
      </c>
    </row>
    <row r="886" spans="40:41" ht="12.75">
      <c r="AN886">
        <f t="shared" si="26"/>
      </c>
      <c r="AO886">
        <f t="shared" si="27"/>
      </c>
    </row>
    <row r="887" spans="40:41" ht="12.75">
      <c r="AN887">
        <f t="shared" si="26"/>
      </c>
      <c r="AO887">
        <f t="shared" si="27"/>
      </c>
    </row>
    <row r="888" spans="40:41" ht="12.75">
      <c r="AN888">
        <f t="shared" si="26"/>
      </c>
      <c r="AO888">
        <f t="shared" si="27"/>
      </c>
    </row>
    <row r="889" spans="40:41" ht="12.75">
      <c r="AN889">
        <f t="shared" si="26"/>
      </c>
      <c r="AO889">
        <f t="shared" si="27"/>
      </c>
    </row>
    <row r="890" spans="40:41" ht="12.75">
      <c r="AN890">
        <f t="shared" si="26"/>
      </c>
      <c r="AO890">
        <f t="shared" si="27"/>
      </c>
    </row>
    <row r="891" spans="40:41" ht="12.75">
      <c r="AN891">
        <f t="shared" si="26"/>
      </c>
      <c r="AO891">
        <f t="shared" si="27"/>
      </c>
    </row>
    <row r="892" spans="40:41" ht="12.75">
      <c r="AN892">
        <f t="shared" si="26"/>
      </c>
      <c r="AO892">
        <f t="shared" si="27"/>
      </c>
    </row>
    <row r="893" spans="40:41" ht="12.75">
      <c r="AN893">
        <f t="shared" si="26"/>
      </c>
      <c r="AO893">
        <f t="shared" si="27"/>
      </c>
    </row>
    <row r="894" spans="40:41" ht="12.75">
      <c r="AN894">
        <f t="shared" si="26"/>
      </c>
      <c r="AO894">
        <f t="shared" si="27"/>
      </c>
    </row>
    <row r="895" spans="40:41" ht="12.75">
      <c r="AN895">
        <f t="shared" si="26"/>
      </c>
      <c r="AO895">
        <f t="shared" si="27"/>
      </c>
    </row>
    <row r="896" spans="40:41" ht="12.75">
      <c r="AN896">
        <f t="shared" si="26"/>
      </c>
      <c r="AO896">
        <f t="shared" si="27"/>
      </c>
    </row>
    <row r="897" spans="40:41" ht="12.75">
      <c r="AN897">
        <f t="shared" si="26"/>
      </c>
      <c r="AO897">
        <f t="shared" si="27"/>
      </c>
    </row>
    <row r="898" spans="40:41" ht="12.75">
      <c r="AN898">
        <f t="shared" si="26"/>
      </c>
      <c r="AO898">
        <f t="shared" si="27"/>
      </c>
    </row>
    <row r="899" spans="40:41" ht="12.75">
      <c r="AN899">
        <f>AQ899&amp;AS899</f>
      </c>
      <c r="AO899">
        <f>AQ899&amp;AT899</f>
      </c>
    </row>
    <row r="900" spans="40:41" ht="12.75">
      <c r="AN900">
        <f>AQ900&amp;AS900</f>
      </c>
      <c r="AO900">
        <f>AQ900&amp;AT900</f>
      </c>
    </row>
    <row r="901" spans="40:41" ht="12.75">
      <c r="AN901">
        <f>AQ901&amp;AS901</f>
      </c>
      <c r="AO901">
        <f>AQ901&amp;AT901</f>
      </c>
    </row>
    <row r="902" spans="40:41" ht="12.75">
      <c r="AN902">
        <f>AQ902&amp;AS902</f>
      </c>
      <c r="AO902">
        <f>AQ902&amp;AT902</f>
      </c>
    </row>
    <row r="903" spans="40:41" ht="12.75">
      <c r="AN903">
        <f>AQ903&amp;AS903</f>
      </c>
      <c r="AO903">
        <f>AQ903&amp;AT903</f>
      </c>
    </row>
    <row r="904" spans="40:41" ht="12.75">
      <c r="AN904">
        <f aca="true" t="shared" si="28" ref="AN904:AN967">AQ904&amp;AS904</f>
      </c>
      <c r="AO904">
        <f aca="true" t="shared" si="29" ref="AO904:AO967">AQ904&amp;AT904</f>
      </c>
    </row>
    <row r="905" spans="40:41" ht="12.75">
      <c r="AN905">
        <f t="shared" si="28"/>
      </c>
      <c r="AO905">
        <f t="shared" si="29"/>
      </c>
    </row>
    <row r="906" spans="40:41" ht="12.75">
      <c r="AN906">
        <f t="shared" si="28"/>
      </c>
      <c r="AO906">
        <f t="shared" si="29"/>
      </c>
    </row>
    <row r="907" spans="40:41" ht="12.75">
      <c r="AN907">
        <f t="shared" si="28"/>
      </c>
      <c r="AO907">
        <f t="shared" si="29"/>
      </c>
    </row>
    <row r="908" spans="40:41" ht="12.75">
      <c r="AN908">
        <f t="shared" si="28"/>
      </c>
      <c r="AO908">
        <f t="shared" si="29"/>
      </c>
    </row>
    <row r="909" spans="40:41" ht="12.75">
      <c r="AN909">
        <f t="shared" si="28"/>
      </c>
      <c r="AO909">
        <f t="shared" si="29"/>
      </c>
    </row>
    <row r="910" spans="40:41" ht="12.75">
      <c r="AN910">
        <f t="shared" si="28"/>
      </c>
      <c r="AO910">
        <f t="shared" si="29"/>
      </c>
    </row>
    <row r="911" spans="40:41" ht="12.75">
      <c r="AN911">
        <f t="shared" si="28"/>
      </c>
      <c r="AO911">
        <f t="shared" si="29"/>
      </c>
    </row>
    <row r="912" spans="40:41" ht="12.75">
      <c r="AN912">
        <f t="shared" si="28"/>
      </c>
      <c r="AO912">
        <f t="shared" si="29"/>
      </c>
    </row>
    <row r="913" spans="40:41" ht="12.75">
      <c r="AN913">
        <f t="shared" si="28"/>
      </c>
      <c r="AO913">
        <f t="shared" si="29"/>
      </c>
    </row>
    <row r="914" spans="40:41" ht="12.75">
      <c r="AN914">
        <f t="shared" si="28"/>
      </c>
      <c r="AO914">
        <f t="shared" si="29"/>
      </c>
    </row>
    <row r="915" spans="40:41" ht="12.75">
      <c r="AN915">
        <f t="shared" si="28"/>
      </c>
      <c r="AO915">
        <f t="shared" si="29"/>
      </c>
    </row>
    <row r="916" spans="40:41" ht="12.75">
      <c r="AN916">
        <f t="shared" si="28"/>
      </c>
      <c r="AO916">
        <f t="shared" si="29"/>
      </c>
    </row>
    <row r="917" spans="40:41" ht="12.75">
      <c r="AN917">
        <f t="shared" si="28"/>
      </c>
      <c r="AO917">
        <f t="shared" si="29"/>
      </c>
    </row>
    <row r="918" spans="40:41" ht="12.75">
      <c r="AN918">
        <f t="shared" si="28"/>
      </c>
      <c r="AO918">
        <f t="shared" si="29"/>
      </c>
    </row>
    <row r="919" spans="40:41" ht="12.75">
      <c r="AN919">
        <f t="shared" si="28"/>
      </c>
      <c r="AO919">
        <f t="shared" si="29"/>
      </c>
    </row>
    <row r="920" spans="40:41" ht="12.75">
      <c r="AN920">
        <f t="shared" si="28"/>
      </c>
      <c r="AO920">
        <f t="shared" si="29"/>
      </c>
    </row>
    <row r="921" spans="40:41" ht="12.75">
      <c r="AN921">
        <f t="shared" si="28"/>
      </c>
      <c r="AO921">
        <f t="shared" si="29"/>
      </c>
    </row>
    <row r="922" spans="40:41" ht="12.75">
      <c r="AN922">
        <f t="shared" si="28"/>
      </c>
      <c r="AO922">
        <f t="shared" si="29"/>
      </c>
    </row>
    <row r="923" spans="40:41" ht="12.75">
      <c r="AN923">
        <f t="shared" si="28"/>
      </c>
      <c r="AO923">
        <f t="shared" si="29"/>
      </c>
    </row>
    <row r="924" spans="40:41" ht="12.75">
      <c r="AN924">
        <f t="shared" si="28"/>
      </c>
      <c r="AO924">
        <f t="shared" si="29"/>
      </c>
    </row>
    <row r="925" spans="40:41" ht="12.75">
      <c r="AN925">
        <f t="shared" si="28"/>
      </c>
      <c r="AO925">
        <f t="shared" si="29"/>
      </c>
    </row>
    <row r="926" spans="40:41" ht="12.75">
      <c r="AN926">
        <f t="shared" si="28"/>
      </c>
      <c r="AO926">
        <f t="shared" si="29"/>
      </c>
    </row>
    <row r="927" spans="40:41" ht="12.75">
      <c r="AN927">
        <f t="shared" si="28"/>
      </c>
      <c r="AO927">
        <f t="shared" si="29"/>
      </c>
    </row>
    <row r="928" spans="40:41" ht="12.75">
      <c r="AN928">
        <f t="shared" si="28"/>
      </c>
      <c r="AO928">
        <f t="shared" si="29"/>
      </c>
    </row>
    <row r="929" spans="40:41" ht="12.75">
      <c r="AN929">
        <f t="shared" si="28"/>
      </c>
      <c r="AO929">
        <f t="shared" si="29"/>
      </c>
    </row>
    <row r="930" spans="40:41" ht="12.75">
      <c r="AN930">
        <f t="shared" si="28"/>
      </c>
      <c r="AO930">
        <f t="shared" si="29"/>
      </c>
    </row>
    <row r="931" spans="40:41" ht="12.75">
      <c r="AN931">
        <f t="shared" si="28"/>
      </c>
      <c r="AO931">
        <f t="shared" si="29"/>
      </c>
    </row>
    <row r="932" spans="40:41" ht="12.75">
      <c r="AN932">
        <f t="shared" si="28"/>
      </c>
      <c r="AO932">
        <f t="shared" si="29"/>
      </c>
    </row>
    <row r="933" spans="40:41" ht="12.75">
      <c r="AN933">
        <f t="shared" si="28"/>
      </c>
      <c r="AO933">
        <f t="shared" si="29"/>
      </c>
    </row>
    <row r="934" spans="40:41" ht="12.75">
      <c r="AN934">
        <f t="shared" si="28"/>
      </c>
      <c r="AO934">
        <f t="shared" si="29"/>
      </c>
    </row>
    <row r="935" spans="40:41" ht="12.75">
      <c r="AN935">
        <f t="shared" si="28"/>
      </c>
      <c r="AO935">
        <f t="shared" si="29"/>
      </c>
    </row>
    <row r="936" spans="40:41" ht="12.75">
      <c r="AN936">
        <f t="shared" si="28"/>
      </c>
      <c r="AO936">
        <f t="shared" si="29"/>
      </c>
    </row>
    <row r="937" spans="40:41" ht="12.75">
      <c r="AN937">
        <f t="shared" si="28"/>
      </c>
      <c r="AO937">
        <f t="shared" si="29"/>
      </c>
    </row>
    <row r="938" spans="40:41" ht="12.75">
      <c r="AN938">
        <f t="shared" si="28"/>
      </c>
      <c r="AO938">
        <f t="shared" si="29"/>
      </c>
    </row>
    <row r="939" spans="40:41" ht="12.75">
      <c r="AN939">
        <f t="shared" si="28"/>
      </c>
      <c r="AO939">
        <f t="shared" si="29"/>
      </c>
    </row>
    <row r="940" spans="40:41" ht="12.75">
      <c r="AN940">
        <f t="shared" si="28"/>
      </c>
      <c r="AO940">
        <f t="shared" si="29"/>
      </c>
    </row>
    <row r="941" spans="40:41" ht="12.75">
      <c r="AN941">
        <f t="shared" si="28"/>
      </c>
      <c r="AO941">
        <f t="shared" si="29"/>
      </c>
    </row>
    <row r="942" spans="40:41" ht="12.75">
      <c r="AN942">
        <f t="shared" si="28"/>
      </c>
      <c r="AO942">
        <f t="shared" si="29"/>
      </c>
    </row>
    <row r="943" spans="40:41" ht="12.75">
      <c r="AN943">
        <f t="shared" si="28"/>
      </c>
      <c r="AO943">
        <f t="shared" si="29"/>
      </c>
    </row>
    <row r="944" spans="40:41" ht="12.75">
      <c r="AN944">
        <f t="shared" si="28"/>
      </c>
      <c r="AO944">
        <f t="shared" si="29"/>
      </c>
    </row>
    <row r="945" spans="40:41" ht="12.75">
      <c r="AN945">
        <f t="shared" si="28"/>
      </c>
      <c r="AO945">
        <f t="shared" si="29"/>
      </c>
    </row>
    <row r="946" spans="40:41" ht="12.75">
      <c r="AN946">
        <f t="shared" si="28"/>
      </c>
      <c r="AO946">
        <f t="shared" si="29"/>
      </c>
    </row>
    <row r="947" spans="40:41" ht="12.75">
      <c r="AN947">
        <f t="shared" si="28"/>
      </c>
      <c r="AO947">
        <f t="shared" si="29"/>
      </c>
    </row>
    <row r="948" spans="40:41" ht="12.75">
      <c r="AN948">
        <f t="shared" si="28"/>
      </c>
      <c r="AO948">
        <f t="shared" si="29"/>
      </c>
    </row>
    <row r="949" spans="40:41" ht="12.75">
      <c r="AN949">
        <f t="shared" si="28"/>
      </c>
      <c r="AO949">
        <f t="shared" si="29"/>
      </c>
    </row>
    <row r="950" spans="40:41" ht="12.75">
      <c r="AN950">
        <f t="shared" si="28"/>
      </c>
      <c r="AO950">
        <f t="shared" si="29"/>
      </c>
    </row>
    <row r="951" spans="40:41" ht="12.75">
      <c r="AN951">
        <f t="shared" si="28"/>
      </c>
      <c r="AO951">
        <f t="shared" si="29"/>
      </c>
    </row>
    <row r="952" spans="40:41" ht="12.75">
      <c r="AN952">
        <f t="shared" si="28"/>
      </c>
      <c r="AO952">
        <f t="shared" si="29"/>
      </c>
    </row>
    <row r="953" spans="40:41" ht="12.75">
      <c r="AN953">
        <f t="shared" si="28"/>
      </c>
      <c r="AO953">
        <f t="shared" si="29"/>
      </c>
    </row>
    <row r="954" spans="40:41" ht="12.75">
      <c r="AN954">
        <f t="shared" si="28"/>
      </c>
      <c r="AO954">
        <f t="shared" si="29"/>
      </c>
    </row>
    <row r="955" spans="40:41" ht="12.75">
      <c r="AN955">
        <f t="shared" si="28"/>
      </c>
      <c r="AO955">
        <f t="shared" si="29"/>
      </c>
    </row>
    <row r="956" spans="40:41" ht="12.75">
      <c r="AN956">
        <f t="shared" si="28"/>
      </c>
      <c r="AO956">
        <f t="shared" si="29"/>
      </c>
    </row>
    <row r="957" spans="40:41" ht="12.75">
      <c r="AN957">
        <f t="shared" si="28"/>
      </c>
      <c r="AO957">
        <f t="shared" si="29"/>
      </c>
    </row>
    <row r="958" spans="40:41" ht="12.75">
      <c r="AN958">
        <f t="shared" si="28"/>
      </c>
      <c r="AO958">
        <f t="shared" si="29"/>
      </c>
    </row>
    <row r="959" spans="40:41" ht="12.75">
      <c r="AN959">
        <f t="shared" si="28"/>
      </c>
      <c r="AO959">
        <f t="shared" si="29"/>
      </c>
    </row>
    <row r="960" spans="40:41" ht="12.75">
      <c r="AN960">
        <f t="shared" si="28"/>
      </c>
      <c r="AO960">
        <f t="shared" si="29"/>
      </c>
    </row>
    <row r="961" spans="40:41" ht="12.75">
      <c r="AN961">
        <f t="shared" si="28"/>
      </c>
      <c r="AO961">
        <f t="shared" si="29"/>
      </c>
    </row>
    <row r="962" spans="40:41" ht="12.75">
      <c r="AN962">
        <f t="shared" si="28"/>
      </c>
      <c r="AO962">
        <f t="shared" si="29"/>
      </c>
    </row>
    <row r="963" spans="40:41" ht="12.75">
      <c r="AN963">
        <f t="shared" si="28"/>
      </c>
      <c r="AO963">
        <f t="shared" si="29"/>
      </c>
    </row>
    <row r="964" spans="40:41" ht="12.75">
      <c r="AN964">
        <f t="shared" si="28"/>
      </c>
      <c r="AO964">
        <f t="shared" si="29"/>
      </c>
    </row>
    <row r="965" spans="40:41" ht="12.75">
      <c r="AN965">
        <f t="shared" si="28"/>
      </c>
      <c r="AO965">
        <f t="shared" si="29"/>
      </c>
    </row>
    <row r="966" spans="40:41" ht="12.75">
      <c r="AN966">
        <f t="shared" si="28"/>
      </c>
      <c r="AO966">
        <f t="shared" si="29"/>
      </c>
    </row>
    <row r="967" spans="40:41" ht="12.75">
      <c r="AN967">
        <f t="shared" si="28"/>
      </c>
      <c r="AO967">
        <f t="shared" si="29"/>
      </c>
    </row>
    <row r="968" spans="40:41" ht="12.75">
      <c r="AN968">
        <f aca="true" t="shared" si="30" ref="AN968:AN1007">AQ968&amp;AS968</f>
      </c>
      <c r="AO968">
        <f aca="true" t="shared" si="31" ref="AO968:AO1007">AQ968&amp;AT968</f>
      </c>
    </row>
    <row r="969" spans="40:41" ht="12.75">
      <c r="AN969">
        <f t="shared" si="30"/>
      </c>
      <c r="AO969">
        <f t="shared" si="31"/>
      </c>
    </row>
    <row r="970" spans="40:41" ht="12.75">
      <c r="AN970">
        <f t="shared" si="30"/>
      </c>
      <c r="AO970">
        <f t="shared" si="31"/>
      </c>
    </row>
    <row r="971" spans="40:41" ht="12.75">
      <c r="AN971">
        <f t="shared" si="30"/>
      </c>
      <c r="AO971">
        <f t="shared" si="31"/>
      </c>
    </row>
    <row r="972" spans="40:41" ht="12.75">
      <c r="AN972">
        <f t="shared" si="30"/>
      </c>
      <c r="AO972">
        <f t="shared" si="31"/>
      </c>
    </row>
    <row r="973" spans="40:41" ht="12.75">
      <c r="AN973">
        <f t="shared" si="30"/>
      </c>
      <c r="AO973">
        <f t="shared" si="31"/>
      </c>
    </row>
    <row r="974" spans="40:41" ht="12.75">
      <c r="AN974">
        <f t="shared" si="30"/>
      </c>
      <c r="AO974">
        <f t="shared" si="31"/>
      </c>
    </row>
    <row r="975" spans="40:41" ht="12.75">
      <c r="AN975">
        <f t="shared" si="30"/>
      </c>
      <c r="AO975">
        <f t="shared" si="31"/>
      </c>
    </row>
    <row r="976" spans="40:41" ht="12.75">
      <c r="AN976">
        <f t="shared" si="30"/>
      </c>
      <c r="AO976">
        <f t="shared" si="31"/>
      </c>
    </row>
    <row r="977" spans="40:41" ht="12.75">
      <c r="AN977">
        <f t="shared" si="30"/>
      </c>
      <c r="AO977">
        <f t="shared" si="31"/>
      </c>
    </row>
    <row r="978" spans="40:41" ht="12.75">
      <c r="AN978">
        <f t="shared" si="30"/>
      </c>
      <c r="AO978">
        <f t="shared" si="31"/>
      </c>
    </row>
    <row r="979" spans="40:41" ht="12.75">
      <c r="AN979">
        <f t="shared" si="30"/>
      </c>
      <c r="AO979">
        <f t="shared" si="31"/>
      </c>
    </row>
    <row r="980" spans="40:41" ht="12.75">
      <c r="AN980">
        <f t="shared" si="30"/>
      </c>
      <c r="AO980">
        <f t="shared" si="31"/>
      </c>
    </row>
    <row r="981" spans="40:41" ht="12.75">
      <c r="AN981">
        <f t="shared" si="30"/>
      </c>
      <c r="AO981">
        <f t="shared" si="31"/>
      </c>
    </row>
    <row r="982" spans="40:41" ht="12.75">
      <c r="AN982">
        <f t="shared" si="30"/>
      </c>
      <c r="AO982">
        <f t="shared" si="31"/>
      </c>
    </row>
    <row r="983" spans="40:41" ht="12.75">
      <c r="AN983">
        <f t="shared" si="30"/>
      </c>
      <c r="AO983">
        <f t="shared" si="31"/>
      </c>
    </row>
    <row r="984" spans="40:41" ht="12.75">
      <c r="AN984">
        <f t="shared" si="30"/>
      </c>
      <c r="AO984">
        <f t="shared" si="31"/>
      </c>
    </row>
    <row r="985" spans="40:41" ht="12.75">
      <c r="AN985">
        <f t="shared" si="30"/>
      </c>
      <c r="AO985">
        <f t="shared" si="31"/>
      </c>
    </row>
    <row r="986" spans="40:41" ht="12.75">
      <c r="AN986">
        <f t="shared" si="30"/>
      </c>
      <c r="AO986">
        <f t="shared" si="31"/>
      </c>
    </row>
    <row r="987" spans="40:41" ht="12.75">
      <c r="AN987">
        <f t="shared" si="30"/>
      </c>
      <c r="AO987">
        <f t="shared" si="31"/>
      </c>
    </row>
    <row r="988" spans="40:41" ht="12.75">
      <c r="AN988">
        <f t="shared" si="30"/>
      </c>
      <c r="AO988">
        <f t="shared" si="31"/>
      </c>
    </row>
    <row r="989" spans="40:41" ht="12.75">
      <c r="AN989">
        <f t="shared" si="30"/>
      </c>
      <c r="AO989">
        <f t="shared" si="31"/>
      </c>
    </row>
    <row r="990" spans="40:41" ht="12.75">
      <c r="AN990">
        <f t="shared" si="30"/>
      </c>
      <c r="AO990">
        <f t="shared" si="31"/>
      </c>
    </row>
    <row r="991" spans="40:41" ht="12.75">
      <c r="AN991">
        <f t="shared" si="30"/>
      </c>
      <c r="AO991">
        <f t="shared" si="31"/>
      </c>
    </row>
    <row r="992" spans="40:41" ht="12.75">
      <c r="AN992">
        <f t="shared" si="30"/>
      </c>
      <c r="AO992">
        <f t="shared" si="31"/>
      </c>
    </row>
    <row r="993" spans="40:41" ht="12.75">
      <c r="AN993">
        <f t="shared" si="30"/>
      </c>
      <c r="AO993">
        <f t="shared" si="31"/>
      </c>
    </row>
    <row r="994" spans="40:41" ht="12.75">
      <c r="AN994">
        <f t="shared" si="30"/>
      </c>
      <c r="AO994">
        <f t="shared" si="31"/>
      </c>
    </row>
    <row r="995" spans="40:41" ht="12.75">
      <c r="AN995">
        <f t="shared" si="30"/>
      </c>
      <c r="AO995">
        <f t="shared" si="31"/>
      </c>
    </row>
    <row r="996" spans="40:41" ht="12.75">
      <c r="AN996">
        <f t="shared" si="30"/>
      </c>
      <c r="AO996">
        <f t="shared" si="31"/>
      </c>
    </row>
    <row r="997" spans="40:41" ht="12.75">
      <c r="AN997">
        <f t="shared" si="30"/>
      </c>
      <c r="AO997">
        <f t="shared" si="31"/>
      </c>
    </row>
    <row r="998" spans="40:41" ht="12.75">
      <c r="AN998">
        <f t="shared" si="30"/>
      </c>
      <c r="AO998">
        <f t="shared" si="31"/>
      </c>
    </row>
    <row r="999" spans="40:41" ht="12.75">
      <c r="AN999">
        <f t="shared" si="30"/>
      </c>
      <c r="AO999">
        <f t="shared" si="31"/>
      </c>
    </row>
    <row r="1000" spans="40:41" ht="12.75">
      <c r="AN1000">
        <f t="shared" si="30"/>
      </c>
      <c r="AO1000">
        <f t="shared" si="31"/>
      </c>
    </row>
    <row r="1001" spans="40:41" ht="12.75">
      <c r="AN1001">
        <f t="shared" si="30"/>
      </c>
      <c r="AO1001">
        <f t="shared" si="31"/>
      </c>
    </row>
    <row r="1002" spans="40:41" ht="12.75">
      <c r="AN1002">
        <f t="shared" si="30"/>
      </c>
      <c r="AO1002">
        <f t="shared" si="31"/>
      </c>
    </row>
    <row r="1003" spans="40:41" ht="12.75">
      <c r="AN1003">
        <f t="shared" si="30"/>
      </c>
      <c r="AO1003">
        <f t="shared" si="31"/>
      </c>
    </row>
    <row r="1004" spans="40:41" ht="12.75">
      <c r="AN1004">
        <f t="shared" si="30"/>
      </c>
      <c r="AO1004">
        <f t="shared" si="31"/>
      </c>
    </row>
    <row r="1005" spans="40:41" ht="12.75">
      <c r="AN1005">
        <f t="shared" si="30"/>
      </c>
      <c r="AO1005">
        <f t="shared" si="31"/>
      </c>
    </row>
    <row r="1006" spans="40:41" ht="12.75">
      <c r="AN1006">
        <f t="shared" si="30"/>
      </c>
      <c r="AO1006">
        <f t="shared" si="31"/>
      </c>
    </row>
    <row r="1007" spans="40:41" ht="12.75">
      <c r="AN1007">
        <f t="shared" si="30"/>
      </c>
      <c r="AO1007">
        <f t="shared" si="31"/>
      </c>
    </row>
  </sheetData>
  <sheetProtection password="EE7C" sheet="1"/>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60"/>
  <sheetViews>
    <sheetView zoomScale="80" zoomScaleNormal="80" zoomScalePageLayoutView="0" workbookViewId="0" topLeftCell="A1">
      <selection activeCell="B10" sqref="B10"/>
    </sheetView>
  </sheetViews>
  <sheetFormatPr defaultColWidth="4.7109375" defaultRowHeight="12.75"/>
  <cols>
    <col min="1" max="1" width="4.7109375" style="563" customWidth="1"/>
    <col min="2" max="2" width="81.57421875" style="563" customWidth="1"/>
    <col min="3" max="4" width="18.140625" style="563" customWidth="1"/>
    <col min="5" max="5" width="18.28125" style="563" customWidth="1"/>
    <col min="6" max="6" width="127.140625" style="563" customWidth="1"/>
    <col min="7" max="16384" width="4.7109375" style="563" customWidth="1"/>
  </cols>
  <sheetData>
    <row r="1" spans="1:7" ht="15.75">
      <c r="A1" s="952"/>
      <c r="B1" s="960" t="s">
        <v>265</v>
      </c>
      <c r="C1" s="961">
        <f>Schedule_B!D1</f>
        <v>0</v>
      </c>
      <c r="D1" s="962"/>
      <c r="E1" s="963"/>
      <c r="F1" s="963"/>
      <c r="G1" s="952"/>
    </row>
    <row r="2" spans="1:7" ht="15.75">
      <c r="A2" s="952"/>
      <c r="B2" s="960" t="s">
        <v>266</v>
      </c>
      <c r="C2" s="962">
        <f>_C000027</f>
        <v>0</v>
      </c>
      <c r="D2" s="962"/>
      <c r="E2" s="963" t="str">
        <f>Schedule_A!A3</f>
        <v>NURSING FACILITY 2019 COST REPORT</v>
      </c>
      <c r="F2" s="963"/>
      <c r="G2" s="952"/>
    </row>
    <row r="3" spans="1:7" ht="12.75" customHeight="1">
      <c r="A3" s="952"/>
      <c r="B3" s="960"/>
      <c r="C3" s="964"/>
      <c r="D3" s="964"/>
      <c r="E3" s="963"/>
      <c r="F3" s="963"/>
      <c r="G3" s="952"/>
    </row>
    <row r="4" spans="1:12" s="565" customFormat="1" ht="18.75">
      <c r="A4" s="953" t="s">
        <v>533</v>
      </c>
      <c r="B4" s="965"/>
      <c r="C4" s="965"/>
      <c r="D4" s="965"/>
      <c r="E4" s="965"/>
      <c r="F4" s="965"/>
      <c r="G4" s="954"/>
      <c r="H4" s="564"/>
      <c r="I4" s="564"/>
      <c r="J4" s="564"/>
      <c r="K4" s="564"/>
      <c r="L4" s="564"/>
    </row>
    <row r="5" spans="1:12" s="565" customFormat="1" ht="18.75">
      <c r="A5" s="953" t="s">
        <v>534</v>
      </c>
      <c r="B5" s="965"/>
      <c r="C5" s="965"/>
      <c r="D5" s="965"/>
      <c r="E5" s="965"/>
      <c r="F5" s="965"/>
      <c r="G5" s="954"/>
      <c r="H5" s="564"/>
      <c r="I5" s="564"/>
      <c r="J5" s="564"/>
      <c r="K5" s="564"/>
      <c r="L5" s="564"/>
    </row>
    <row r="6" spans="1:7" ht="12.75" customHeight="1" thickBot="1">
      <c r="A6" s="952"/>
      <c r="B6" s="966" t="s">
        <v>1047</v>
      </c>
      <c r="C6" s="960"/>
      <c r="D6" s="967"/>
      <c r="E6" s="968"/>
      <c r="F6" s="963"/>
      <c r="G6" s="952"/>
    </row>
    <row r="7" spans="1:7" ht="16.5" thickBot="1">
      <c r="A7" s="952"/>
      <c r="B7" s="969"/>
      <c r="C7" s="1646" t="s">
        <v>464</v>
      </c>
      <c r="D7" s="1648" t="s">
        <v>193</v>
      </c>
      <c r="E7" s="970"/>
      <c r="F7" s="971"/>
      <c r="G7" s="952"/>
    </row>
    <row r="8" spans="1:7" ht="19.5" customHeight="1" thickBot="1">
      <c r="A8" s="952"/>
      <c r="B8" s="1645" t="s">
        <v>535</v>
      </c>
      <c r="C8" s="1647" t="s">
        <v>204</v>
      </c>
      <c r="D8" s="1649" t="s">
        <v>471</v>
      </c>
      <c r="E8" s="1650" t="s">
        <v>472</v>
      </c>
      <c r="F8" s="1651" t="s">
        <v>536</v>
      </c>
      <c r="G8" s="952"/>
    </row>
    <row r="9" spans="1:7" ht="12.75" customHeight="1" thickBot="1">
      <c r="A9" s="952"/>
      <c r="B9" s="1652" t="s">
        <v>473</v>
      </c>
      <c r="C9" s="1653" t="s">
        <v>474</v>
      </c>
      <c r="D9" s="1653" t="s">
        <v>475</v>
      </c>
      <c r="E9" s="1653" t="s">
        <v>476</v>
      </c>
      <c r="F9" s="1654" t="s">
        <v>477</v>
      </c>
      <c r="G9" s="955"/>
    </row>
    <row r="10" spans="1:7" ht="19.5" customHeight="1">
      <c r="A10" s="952"/>
      <c r="B10" s="1729"/>
      <c r="C10" s="1730"/>
      <c r="D10" s="1731"/>
      <c r="E10" s="1732"/>
      <c r="F10" s="1733"/>
      <c r="G10" s="952"/>
    </row>
    <row r="11" spans="1:7" ht="19.5" customHeight="1">
      <c r="A11" s="952"/>
      <c r="B11" s="1734"/>
      <c r="C11" s="1735"/>
      <c r="D11" s="1736"/>
      <c r="E11" s="1737"/>
      <c r="F11" s="1738"/>
      <c r="G11" s="952"/>
    </row>
    <row r="12" spans="1:7" ht="19.5" customHeight="1">
      <c r="A12" s="952"/>
      <c r="B12" s="1734"/>
      <c r="C12" s="1735"/>
      <c r="D12" s="1736"/>
      <c r="E12" s="1737"/>
      <c r="F12" s="1738"/>
      <c r="G12" s="952"/>
    </row>
    <row r="13" spans="1:7" ht="19.5" customHeight="1">
      <c r="A13" s="952"/>
      <c r="B13" s="1739"/>
      <c r="C13" s="1735"/>
      <c r="D13" s="1736"/>
      <c r="E13" s="1737"/>
      <c r="F13" s="1738"/>
      <c r="G13" s="952"/>
    </row>
    <row r="14" spans="1:7" ht="19.5" customHeight="1">
      <c r="A14" s="952"/>
      <c r="B14" s="1734"/>
      <c r="C14" s="1735"/>
      <c r="D14" s="1736"/>
      <c r="E14" s="1737"/>
      <c r="F14" s="1738"/>
      <c r="G14" s="952"/>
    </row>
    <row r="15" spans="1:7" ht="19.5" customHeight="1">
      <c r="A15" s="952"/>
      <c r="B15" s="1734"/>
      <c r="C15" s="1735"/>
      <c r="D15" s="1736"/>
      <c r="E15" s="1737"/>
      <c r="F15" s="1738"/>
      <c r="G15" s="952"/>
    </row>
    <row r="16" spans="1:7" ht="19.5" customHeight="1">
      <c r="A16" s="952"/>
      <c r="B16" s="1734"/>
      <c r="C16" s="1735"/>
      <c r="D16" s="1736"/>
      <c r="E16" s="1737"/>
      <c r="F16" s="1738"/>
      <c r="G16" s="952"/>
    </row>
    <row r="17" spans="1:7" ht="19.5" customHeight="1">
      <c r="A17" s="952"/>
      <c r="B17" s="1734"/>
      <c r="C17" s="1735"/>
      <c r="D17" s="1736"/>
      <c r="E17" s="1737"/>
      <c r="F17" s="1738"/>
      <c r="G17" s="952"/>
    </row>
    <row r="18" spans="1:7" ht="19.5" customHeight="1">
      <c r="A18" s="952"/>
      <c r="B18" s="1734"/>
      <c r="C18" s="1735"/>
      <c r="D18" s="1736"/>
      <c r="E18" s="1737"/>
      <c r="F18" s="1738"/>
      <c r="G18" s="952"/>
    </row>
    <row r="19" spans="1:7" ht="19.5" customHeight="1">
      <c r="A19" s="952"/>
      <c r="B19" s="1734"/>
      <c r="C19" s="1735"/>
      <c r="D19" s="1736"/>
      <c r="E19" s="1737"/>
      <c r="F19" s="1738"/>
      <c r="G19" s="952"/>
    </row>
    <row r="20" spans="1:7" ht="19.5" customHeight="1">
      <c r="A20" s="952"/>
      <c r="B20" s="1734"/>
      <c r="C20" s="1735"/>
      <c r="D20" s="1736"/>
      <c r="E20" s="1737"/>
      <c r="F20" s="1738"/>
      <c r="G20" s="952"/>
    </row>
    <row r="21" spans="1:7" ht="19.5" customHeight="1">
      <c r="A21" s="952"/>
      <c r="B21" s="1734"/>
      <c r="C21" s="1735"/>
      <c r="D21" s="1736"/>
      <c r="E21" s="1737"/>
      <c r="F21" s="1738"/>
      <c r="G21" s="952"/>
    </row>
    <row r="22" spans="1:7" ht="19.5" customHeight="1">
      <c r="A22" s="952"/>
      <c r="B22" s="1734"/>
      <c r="C22" s="1735"/>
      <c r="D22" s="1736"/>
      <c r="E22" s="1737"/>
      <c r="F22" s="1738"/>
      <c r="G22" s="952"/>
    </row>
    <row r="23" spans="1:7" ht="19.5" customHeight="1">
      <c r="A23" s="952"/>
      <c r="B23" s="1734"/>
      <c r="C23" s="1735"/>
      <c r="D23" s="1736"/>
      <c r="E23" s="1737"/>
      <c r="F23" s="1738"/>
      <c r="G23" s="952"/>
    </row>
    <row r="24" spans="1:7" ht="19.5" customHeight="1">
      <c r="A24" s="952"/>
      <c r="B24" s="1734"/>
      <c r="C24" s="1735"/>
      <c r="D24" s="1736"/>
      <c r="E24" s="1737"/>
      <c r="F24" s="1738"/>
      <c r="G24" s="952"/>
    </row>
    <row r="25" spans="1:7" ht="19.5" customHeight="1">
      <c r="A25" s="952"/>
      <c r="B25" s="1734"/>
      <c r="C25" s="1735"/>
      <c r="D25" s="1736"/>
      <c r="E25" s="1737"/>
      <c r="F25" s="1738"/>
      <c r="G25" s="952"/>
    </row>
    <row r="26" spans="1:7" ht="19.5" customHeight="1">
      <c r="A26" s="952"/>
      <c r="B26" s="1734"/>
      <c r="C26" s="1735"/>
      <c r="D26" s="1736"/>
      <c r="E26" s="1737"/>
      <c r="F26" s="1738"/>
      <c r="G26" s="952"/>
    </row>
    <row r="27" spans="1:7" ht="19.5" customHeight="1">
      <c r="A27" s="952"/>
      <c r="B27" s="1734"/>
      <c r="C27" s="1735"/>
      <c r="D27" s="1736"/>
      <c r="E27" s="1737"/>
      <c r="F27" s="1738"/>
      <c r="G27" s="952"/>
    </row>
    <row r="28" spans="1:7" ht="19.5" customHeight="1">
      <c r="A28" s="952"/>
      <c r="B28" s="1734"/>
      <c r="C28" s="1735"/>
      <c r="D28" s="1736"/>
      <c r="E28" s="1737"/>
      <c r="F28" s="1738"/>
      <c r="G28" s="952"/>
    </row>
    <row r="29" spans="1:7" ht="19.5" customHeight="1">
      <c r="A29" s="952"/>
      <c r="B29" s="1734"/>
      <c r="C29" s="1735"/>
      <c r="D29" s="1736"/>
      <c r="E29" s="1737"/>
      <c r="F29" s="1738"/>
      <c r="G29" s="952"/>
    </row>
    <row r="30" spans="1:7" ht="19.5" customHeight="1">
      <c r="A30" s="952"/>
      <c r="B30" s="1734"/>
      <c r="C30" s="1735"/>
      <c r="D30" s="1736"/>
      <c r="E30" s="1737"/>
      <c r="F30" s="1738"/>
      <c r="G30" s="952"/>
    </row>
    <row r="31" spans="1:7" ht="19.5" customHeight="1">
      <c r="A31" s="952"/>
      <c r="B31" s="1734"/>
      <c r="C31" s="1735"/>
      <c r="D31" s="1736"/>
      <c r="E31" s="1737"/>
      <c r="F31" s="1738"/>
      <c r="G31" s="952"/>
    </row>
    <row r="32" spans="1:7" ht="19.5" customHeight="1">
      <c r="A32" s="952"/>
      <c r="B32" s="1734"/>
      <c r="C32" s="1735"/>
      <c r="D32" s="1736"/>
      <c r="E32" s="1737"/>
      <c r="F32" s="1738"/>
      <c r="G32" s="952"/>
    </row>
    <row r="33" spans="1:7" ht="19.5" customHeight="1">
      <c r="A33" s="952"/>
      <c r="B33" s="1734"/>
      <c r="C33" s="1735"/>
      <c r="D33" s="1736"/>
      <c r="E33" s="1737"/>
      <c r="F33" s="1738"/>
      <c r="G33" s="952"/>
    </row>
    <row r="34" spans="1:7" ht="19.5" customHeight="1">
      <c r="A34" s="952"/>
      <c r="B34" s="1734"/>
      <c r="C34" s="1735"/>
      <c r="D34" s="1736"/>
      <c r="E34" s="1737"/>
      <c r="F34" s="1738"/>
      <c r="G34" s="952"/>
    </row>
    <row r="35" spans="1:7" ht="19.5" customHeight="1">
      <c r="A35" s="952"/>
      <c r="B35" s="1734"/>
      <c r="C35" s="1735"/>
      <c r="D35" s="1736"/>
      <c r="E35" s="1737"/>
      <c r="F35" s="1738"/>
      <c r="G35" s="952"/>
    </row>
    <row r="36" spans="1:7" ht="19.5" customHeight="1">
      <c r="A36" s="952"/>
      <c r="B36" s="1734"/>
      <c r="C36" s="1735"/>
      <c r="D36" s="1736"/>
      <c r="E36" s="1737"/>
      <c r="F36" s="1738"/>
      <c r="G36" s="952"/>
    </row>
    <row r="37" spans="1:7" ht="19.5" customHeight="1">
      <c r="A37" s="952"/>
      <c r="B37" s="1734"/>
      <c r="C37" s="1735"/>
      <c r="D37" s="1736"/>
      <c r="E37" s="1737"/>
      <c r="F37" s="1738"/>
      <c r="G37" s="952"/>
    </row>
    <row r="38" spans="1:7" ht="19.5" customHeight="1">
      <c r="A38" s="952"/>
      <c r="B38" s="1734"/>
      <c r="C38" s="1735"/>
      <c r="D38" s="1736"/>
      <c r="E38" s="1737"/>
      <c r="F38" s="1738"/>
      <c r="G38" s="952"/>
    </row>
    <row r="39" spans="1:7" ht="19.5" customHeight="1">
      <c r="A39" s="952"/>
      <c r="B39" s="1734"/>
      <c r="C39" s="1735"/>
      <c r="D39" s="1736"/>
      <c r="E39" s="1737"/>
      <c r="F39" s="1738"/>
      <c r="G39" s="952"/>
    </row>
    <row r="40" spans="1:7" ht="19.5" customHeight="1">
      <c r="A40" s="952"/>
      <c r="B40" s="1734"/>
      <c r="C40" s="1735"/>
      <c r="D40" s="1736"/>
      <c r="E40" s="1737"/>
      <c r="F40" s="1738"/>
      <c r="G40" s="952"/>
    </row>
    <row r="41" spans="1:7" ht="19.5" customHeight="1">
      <c r="A41" s="952"/>
      <c r="B41" s="1734"/>
      <c r="C41" s="1735"/>
      <c r="D41" s="1736"/>
      <c r="E41" s="1737"/>
      <c r="F41" s="1738"/>
      <c r="G41" s="952"/>
    </row>
    <row r="42" spans="1:7" ht="19.5" customHeight="1">
      <c r="A42" s="952"/>
      <c r="B42" s="1739"/>
      <c r="C42" s="1735"/>
      <c r="D42" s="1736"/>
      <c r="E42" s="1737"/>
      <c r="F42" s="1738"/>
      <c r="G42" s="952"/>
    </row>
    <row r="43" spans="1:7" ht="19.5" customHeight="1">
      <c r="A43" s="952"/>
      <c r="B43" s="1739"/>
      <c r="C43" s="1735"/>
      <c r="D43" s="1736"/>
      <c r="E43" s="1737"/>
      <c r="F43" s="1738"/>
      <c r="G43" s="952"/>
    </row>
    <row r="44" spans="1:7" ht="19.5" customHeight="1">
      <c r="A44" s="952"/>
      <c r="B44" s="1739"/>
      <c r="C44" s="1735"/>
      <c r="D44" s="1736"/>
      <c r="E44" s="1737"/>
      <c r="F44" s="1738"/>
      <c r="G44" s="952"/>
    </row>
    <row r="45" spans="1:7" ht="19.5" customHeight="1">
      <c r="A45" s="952"/>
      <c r="B45" s="1739"/>
      <c r="C45" s="1735"/>
      <c r="D45" s="1736"/>
      <c r="E45" s="1737"/>
      <c r="F45" s="1738"/>
      <c r="G45" s="952"/>
    </row>
    <row r="46" spans="1:7" ht="19.5" customHeight="1">
      <c r="A46" s="952"/>
      <c r="B46" s="1739"/>
      <c r="C46" s="1735"/>
      <c r="D46" s="1736"/>
      <c r="E46" s="1737"/>
      <c r="F46" s="1738"/>
      <c r="G46" s="952"/>
    </row>
    <row r="47" spans="1:7" ht="19.5" customHeight="1">
      <c r="A47" s="952"/>
      <c r="B47" s="1739"/>
      <c r="C47" s="1735"/>
      <c r="D47" s="1736"/>
      <c r="E47" s="1737"/>
      <c r="F47" s="1738"/>
      <c r="G47" s="952"/>
    </row>
    <row r="48" spans="1:7" ht="19.5" customHeight="1">
      <c r="A48" s="952"/>
      <c r="B48" s="1739"/>
      <c r="C48" s="1735"/>
      <c r="D48" s="1736"/>
      <c r="E48" s="1737"/>
      <c r="F48" s="1738"/>
      <c r="G48" s="952"/>
    </row>
    <row r="49" spans="1:7" ht="19.5" customHeight="1">
      <c r="A49" s="952"/>
      <c r="B49" s="1739"/>
      <c r="C49" s="1735"/>
      <c r="D49" s="1736"/>
      <c r="E49" s="1737"/>
      <c r="F49" s="1738"/>
      <c r="G49" s="952"/>
    </row>
    <row r="50" spans="1:7" ht="19.5" customHeight="1">
      <c r="A50" s="952"/>
      <c r="B50" s="1739"/>
      <c r="C50" s="1735"/>
      <c r="D50" s="1736"/>
      <c r="E50" s="1737"/>
      <c r="F50" s="1738"/>
      <c r="G50" s="952"/>
    </row>
    <row r="51" spans="1:7" ht="19.5" customHeight="1">
      <c r="A51" s="952"/>
      <c r="B51" s="1739"/>
      <c r="C51" s="1735"/>
      <c r="D51" s="1736"/>
      <c r="E51" s="1737"/>
      <c r="F51" s="1738"/>
      <c r="G51" s="952"/>
    </row>
    <row r="52" spans="1:7" ht="19.5" customHeight="1">
      <c r="A52" s="952"/>
      <c r="B52" s="1739"/>
      <c r="C52" s="1735"/>
      <c r="D52" s="1736"/>
      <c r="E52" s="1737"/>
      <c r="F52" s="1738"/>
      <c r="G52" s="952"/>
    </row>
    <row r="53" spans="1:7" ht="19.5" customHeight="1">
      <c r="A53" s="952"/>
      <c r="B53" s="1739"/>
      <c r="C53" s="1735"/>
      <c r="D53" s="1736"/>
      <c r="E53" s="1737"/>
      <c r="F53" s="1738"/>
      <c r="G53" s="952"/>
    </row>
    <row r="54" spans="1:7" ht="19.5" customHeight="1">
      <c r="A54" s="952"/>
      <c r="B54" s="1739"/>
      <c r="C54" s="1735"/>
      <c r="D54" s="1736"/>
      <c r="E54" s="1737"/>
      <c r="F54" s="1738"/>
      <c r="G54" s="952"/>
    </row>
    <row r="55" spans="1:7" ht="19.5" customHeight="1">
      <c r="A55" s="952"/>
      <c r="B55" s="1739"/>
      <c r="C55" s="1735"/>
      <c r="D55" s="1736"/>
      <c r="E55" s="1737"/>
      <c r="F55" s="1738"/>
      <c r="G55" s="952"/>
    </row>
    <row r="56" spans="1:7" ht="19.5" customHeight="1">
      <c r="A56" s="952"/>
      <c r="B56" s="1739"/>
      <c r="C56" s="1735"/>
      <c r="D56" s="1736"/>
      <c r="E56" s="1737"/>
      <c r="F56" s="1738"/>
      <c r="G56" s="952"/>
    </row>
    <row r="57" spans="1:7" ht="19.5" customHeight="1">
      <c r="A57" s="952"/>
      <c r="B57" s="1739"/>
      <c r="C57" s="1735"/>
      <c r="D57" s="1736"/>
      <c r="E57" s="1737"/>
      <c r="F57" s="1738"/>
      <c r="G57" s="952"/>
    </row>
    <row r="58" spans="1:7" ht="19.5" customHeight="1">
      <c r="A58" s="952"/>
      <c r="B58" s="1739"/>
      <c r="C58" s="1735"/>
      <c r="D58" s="1736"/>
      <c r="E58" s="1737"/>
      <c r="F58" s="1738"/>
      <c r="G58" s="952"/>
    </row>
    <row r="59" spans="1:7" ht="19.5" customHeight="1">
      <c r="A59" s="952"/>
      <c r="B59" s="1739"/>
      <c r="C59" s="1735"/>
      <c r="D59" s="1736"/>
      <c r="E59" s="1737"/>
      <c r="F59" s="1738"/>
      <c r="G59" s="952"/>
    </row>
    <row r="60" spans="1:7" ht="19.5" customHeight="1">
      <c r="A60" s="952"/>
      <c r="B60" s="1739"/>
      <c r="C60" s="1735"/>
      <c r="D60" s="1736"/>
      <c r="E60" s="1737"/>
      <c r="F60" s="1738"/>
      <c r="G60" s="952"/>
    </row>
  </sheetData>
  <sheetProtection/>
  <printOptions/>
  <pageMargins left="0.2" right="0.22" top="0.34" bottom="0.29" header="0.17" footer="0.21"/>
  <pageSetup horizontalDpi="600" verticalDpi="600" orientation="landscape" scale="50" r:id="rId2"/>
  <headerFooter alignWithMargins="0">
    <oddFooter>&amp;LDSHS 23-003&amp;C23&amp;RSchedule G-5</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38"/>
  <sheetViews>
    <sheetView zoomScale="90" zoomScaleNormal="90" workbookViewId="0" topLeftCell="A1">
      <selection activeCell="K6" sqref="K6"/>
    </sheetView>
  </sheetViews>
  <sheetFormatPr defaultColWidth="9.140625" defaultRowHeight="12.75"/>
  <cols>
    <col min="1" max="1" width="7.57421875" style="566" customWidth="1"/>
    <col min="2" max="2" width="7.7109375" style="566" customWidth="1"/>
    <col min="3" max="3" width="51.8515625" style="566" customWidth="1"/>
    <col min="4" max="4" width="22.140625" style="566" customWidth="1"/>
    <col min="5" max="5" width="14.140625" style="566" customWidth="1"/>
    <col min="6" max="6" width="14.421875" style="566" customWidth="1"/>
    <col min="7" max="9" width="17.421875" style="566" customWidth="1"/>
    <col min="10" max="10" width="19.28125" style="566" customWidth="1"/>
    <col min="11" max="11" width="15.140625" style="566" customWidth="1"/>
    <col min="12" max="16384" width="9.140625" style="566" customWidth="1"/>
  </cols>
  <sheetData>
    <row r="1" spans="2:3" ht="15.75">
      <c r="B1" s="567" t="s">
        <v>265</v>
      </c>
      <c r="C1" s="924">
        <f>Schedule_B!D1</f>
        <v>0</v>
      </c>
    </row>
    <row r="2" spans="2:4" ht="15.75">
      <c r="B2" s="569" t="s">
        <v>266</v>
      </c>
      <c r="C2" s="568">
        <f>+Schedule_A!$I$8</f>
        <v>0</v>
      </c>
      <c r="D2" s="566" t="str">
        <f>Schedule_A!A3</f>
        <v>NURSING FACILITY 2019 COST REPORT</v>
      </c>
    </row>
    <row r="3" spans="3:4" ht="7.5" customHeight="1">
      <c r="C3" s="567"/>
      <c r="D3" s="570"/>
    </row>
    <row r="4" spans="1:12" ht="18.75">
      <c r="A4" s="571" t="s">
        <v>537</v>
      </c>
      <c r="B4" s="572"/>
      <c r="C4" s="572"/>
      <c r="D4" s="572"/>
      <c r="E4" s="572"/>
      <c r="F4" s="572"/>
      <c r="G4" s="573"/>
      <c r="H4" s="572"/>
      <c r="I4" s="572"/>
      <c r="J4" s="572"/>
      <c r="K4" s="572"/>
      <c r="L4" s="572"/>
    </row>
    <row r="5" spans="1:12" ht="7.5" customHeight="1" thickBot="1">
      <c r="A5" s="574"/>
      <c r="B5" s="572"/>
      <c r="C5" s="572"/>
      <c r="D5" s="572"/>
      <c r="E5" s="572"/>
      <c r="F5" s="572"/>
      <c r="G5" s="572"/>
      <c r="H5" s="572"/>
      <c r="I5" s="572"/>
      <c r="J5" s="572"/>
      <c r="K5" s="572"/>
      <c r="L5" s="572"/>
    </row>
    <row r="6" spans="3:11" ht="16.5" thickBot="1">
      <c r="C6" s="575"/>
      <c r="D6" s="570"/>
      <c r="J6" s="569" t="s">
        <v>637</v>
      </c>
      <c r="K6" s="1375"/>
    </row>
    <row r="7" ht="7.5" customHeight="1" thickBot="1"/>
    <row r="8" spans="2:11" ht="19.5" customHeight="1">
      <c r="B8" s="576"/>
      <c r="C8" s="577"/>
      <c r="D8" s="578" t="s">
        <v>538</v>
      </c>
      <c r="E8" s="579"/>
      <c r="F8" s="580"/>
      <c r="G8" s="581"/>
      <c r="H8" s="579"/>
      <c r="I8" s="582"/>
      <c r="J8" s="583"/>
      <c r="K8" s="583"/>
    </row>
    <row r="9" spans="2:11" ht="19.5" customHeight="1">
      <c r="B9" s="584" t="s">
        <v>539</v>
      </c>
      <c r="C9" s="585"/>
      <c r="D9" s="585"/>
      <c r="E9" s="586" t="s">
        <v>540</v>
      </c>
      <c r="F9" s="587"/>
      <c r="G9" s="588" t="s">
        <v>541</v>
      </c>
      <c r="H9" s="588" t="s">
        <v>542</v>
      </c>
      <c r="I9" s="589" t="s">
        <v>186</v>
      </c>
      <c r="J9" s="583"/>
      <c r="K9" s="583"/>
    </row>
    <row r="10" spans="2:11" ht="27.75" customHeight="1">
      <c r="B10" s="590" t="s">
        <v>543</v>
      </c>
      <c r="C10" s="591" t="s">
        <v>544</v>
      </c>
      <c r="D10" s="592" t="s">
        <v>75</v>
      </c>
      <c r="E10" s="592" t="s">
        <v>76</v>
      </c>
      <c r="F10" s="592" t="s">
        <v>77</v>
      </c>
      <c r="G10" s="593" t="s">
        <v>78</v>
      </c>
      <c r="H10" s="593" t="s">
        <v>79</v>
      </c>
      <c r="I10" s="594" t="s">
        <v>80</v>
      </c>
      <c r="J10" s="583"/>
      <c r="K10" s="583"/>
    </row>
    <row r="11" spans="2:12" ht="12.75" customHeight="1" thickBot="1">
      <c r="B11" s="595"/>
      <c r="C11" s="596" t="s">
        <v>473</v>
      </c>
      <c r="D11" s="596" t="s">
        <v>474</v>
      </c>
      <c r="E11" s="596" t="s">
        <v>475</v>
      </c>
      <c r="F11" s="596" t="s">
        <v>476</v>
      </c>
      <c r="G11" s="596" t="s">
        <v>477</v>
      </c>
      <c r="H11" s="596" t="s">
        <v>478</v>
      </c>
      <c r="I11" s="597" t="s">
        <v>479</v>
      </c>
      <c r="J11" s="598"/>
      <c r="K11" s="598"/>
      <c r="L11" s="599"/>
    </row>
    <row r="12" spans="2:11" ht="21" customHeight="1">
      <c r="B12" s="600">
        <v>1</v>
      </c>
      <c r="C12" s="601" t="s">
        <v>81</v>
      </c>
      <c r="D12" s="602"/>
      <c r="E12" s="602"/>
      <c r="F12" s="602"/>
      <c r="G12" s="602"/>
      <c r="H12" s="603"/>
      <c r="I12" s="604">
        <f aca="true" t="shared" si="0" ref="I12:I19">ROUND(SUM(D12:H12),0)</f>
        <v>0</v>
      </c>
      <c r="J12" s="605"/>
      <c r="K12" s="606"/>
    </row>
    <row r="13" spans="2:11" ht="21" customHeight="1">
      <c r="B13" s="607">
        <v>2</v>
      </c>
      <c r="C13" s="608" t="s">
        <v>82</v>
      </c>
      <c r="D13" s="609"/>
      <c r="E13" s="609"/>
      <c r="F13" s="609"/>
      <c r="G13" s="609"/>
      <c r="H13" s="610"/>
      <c r="I13" s="604">
        <f t="shared" si="0"/>
        <v>0</v>
      </c>
      <c r="J13" s="605"/>
      <c r="K13" s="606"/>
    </row>
    <row r="14" spans="2:11" ht="21" customHeight="1">
      <c r="B14" s="607">
        <v>3</v>
      </c>
      <c r="C14" s="608" t="s">
        <v>83</v>
      </c>
      <c r="D14" s="609"/>
      <c r="E14" s="609"/>
      <c r="F14" s="609"/>
      <c r="G14" s="609"/>
      <c r="H14" s="610"/>
      <c r="I14" s="604">
        <f t="shared" si="0"/>
        <v>0</v>
      </c>
      <c r="J14" s="605"/>
      <c r="K14" s="606"/>
    </row>
    <row r="15" spans="2:11" ht="21" customHeight="1">
      <c r="B15" s="607">
        <v>4</v>
      </c>
      <c r="C15" s="1207" t="s">
        <v>84</v>
      </c>
      <c r="D15" s="609"/>
      <c r="E15" s="609"/>
      <c r="F15" s="609"/>
      <c r="G15" s="609"/>
      <c r="H15" s="610"/>
      <c r="I15" s="604">
        <f t="shared" si="0"/>
        <v>0</v>
      </c>
      <c r="J15" s="605"/>
      <c r="K15" s="606"/>
    </row>
    <row r="16" spans="2:11" ht="21" customHeight="1">
      <c r="B16" s="607">
        <v>5</v>
      </c>
      <c r="C16" s="1207" t="s">
        <v>703</v>
      </c>
      <c r="D16" s="609"/>
      <c r="E16" s="609"/>
      <c r="F16" s="609"/>
      <c r="G16" s="609"/>
      <c r="H16" s="610"/>
      <c r="I16" s="604">
        <f t="shared" si="0"/>
        <v>0</v>
      </c>
      <c r="J16" s="605"/>
      <c r="K16" s="606"/>
    </row>
    <row r="17" spans="2:11" ht="21" customHeight="1">
      <c r="B17" s="607">
        <v>6</v>
      </c>
      <c r="C17" s="1207" t="s">
        <v>85</v>
      </c>
      <c r="D17" s="609"/>
      <c r="E17" s="609"/>
      <c r="F17" s="609"/>
      <c r="G17" s="609"/>
      <c r="H17" s="610"/>
      <c r="I17" s="604">
        <f t="shared" si="0"/>
        <v>0</v>
      </c>
      <c r="J17" s="605"/>
      <c r="K17" s="606"/>
    </row>
    <row r="18" spans="2:11" ht="21" customHeight="1" thickBot="1">
      <c r="B18" s="607">
        <v>7</v>
      </c>
      <c r="C18" s="611" t="s">
        <v>419</v>
      </c>
      <c r="D18" s="609"/>
      <c r="E18" s="609"/>
      <c r="F18" s="609"/>
      <c r="G18" s="609"/>
      <c r="H18" s="610"/>
      <c r="I18" s="604">
        <f t="shared" si="0"/>
        <v>0</v>
      </c>
      <c r="J18" s="605"/>
      <c r="K18" s="606"/>
    </row>
    <row r="19" spans="2:11" ht="21" customHeight="1" thickBot="1">
      <c r="B19" s="612">
        <v>8</v>
      </c>
      <c r="C19" s="613" t="s">
        <v>86</v>
      </c>
      <c r="D19" s="614">
        <f>SUM(D12:D18)</f>
        <v>0</v>
      </c>
      <c r="E19" s="614">
        <f>SUM(E12:E18)</f>
        <v>0</v>
      </c>
      <c r="F19" s="614">
        <f>SUM(F12:F18)</f>
        <v>0</v>
      </c>
      <c r="G19" s="614">
        <f>SUM(G12:G18)</f>
        <v>0</v>
      </c>
      <c r="H19" s="614">
        <f>SUM(H12:H18)</f>
        <v>0</v>
      </c>
      <c r="I19" s="615">
        <f t="shared" si="0"/>
        <v>0</v>
      </c>
      <c r="J19" s="616"/>
      <c r="K19" s="606"/>
    </row>
    <row r="22" ht="16.5" thickBot="1"/>
    <row r="23" spans="2:11" ht="36" customHeight="1">
      <c r="B23" s="576" t="s">
        <v>539</v>
      </c>
      <c r="C23" s="617" t="s">
        <v>87</v>
      </c>
      <c r="D23" s="618"/>
      <c r="E23" s="619"/>
      <c r="F23" s="620"/>
      <c r="G23" s="621"/>
      <c r="H23" s="577" t="s">
        <v>81</v>
      </c>
      <c r="I23" s="577" t="s">
        <v>82</v>
      </c>
      <c r="J23" s="577" t="s">
        <v>83</v>
      </c>
      <c r="K23" s="622" t="s">
        <v>88</v>
      </c>
    </row>
    <row r="24" spans="2:12" ht="12.75" customHeight="1" thickBot="1">
      <c r="B24" s="623" t="s">
        <v>543</v>
      </c>
      <c r="C24" s="624"/>
      <c r="D24" s="625"/>
      <c r="E24" s="625"/>
      <c r="F24" s="625"/>
      <c r="G24" s="625"/>
      <c r="H24" s="624" t="s">
        <v>182</v>
      </c>
      <c r="I24" s="624" t="s">
        <v>183</v>
      </c>
      <c r="J24" s="624" t="s">
        <v>184</v>
      </c>
      <c r="K24" s="597" t="s">
        <v>185</v>
      </c>
      <c r="L24" s="599"/>
    </row>
    <row r="25" spans="2:11" ht="21" customHeight="1">
      <c r="B25" s="607">
        <v>9</v>
      </c>
      <c r="C25" s="608" t="s">
        <v>89</v>
      </c>
      <c r="D25" s="626"/>
      <c r="E25" s="626"/>
      <c r="F25" s="626"/>
      <c r="G25" s="626"/>
      <c r="H25" s="627">
        <f>ROUND(+E12*0.2,0)</f>
        <v>0</v>
      </c>
      <c r="I25" s="627">
        <f>ROUND(+E13*0.2,0)</f>
        <v>0</v>
      </c>
      <c r="J25" s="627">
        <f>ROUND(+E14*0.2,0)</f>
        <v>0</v>
      </c>
      <c r="K25" s="628">
        <f>ROUND((SUM(E15:E18))*0.2,0)</f>
        <v>0</v>
      </c>
    </row>
    <row r="26" spans="2:11" ht="21" customHeight="1">
      <c r="B26" s="607">
        <v>10</v>
      </c>
      <c r="C26" s="608" t="s">
        <v>90</v>
      </c>
      <c r="D26" s="626"/>
      <c r="E26" s="626"/>
      <c r="F26" s="626"/>
      <c r="G26" s="626"/>
      <c r="H26" s="627">
        <f>ROUND(D12,0)</f>
        <v>0</v>
      </c>
      <c r="I26" s="627">
        <f>ROUND(D13,0)</f>
        <v>0</v>
      </c>
      <c r="J26" s="627">
        <f>ROUND(D14,0)</f>
        <v>0</v>
      </c>
      <c r="K26" s="628">
        <f>ROUND(SUM(D15:D18),0)</f>
        <v>0</v>
      </c>
    </row>
    <row r="27" spans="2:11" ht="21" customHeight="1">
      <c r="B27" s="607">
        <v>11</v>
      </c>
      <c r="C27" s="629" t="s">
        <v>91</v>
      </c>
      <c r="D27" s="626"/>
      <c r="E27" s="626"/>
      <c r="F27" s="626"/>
      <c r="G27" s="626"/>
      <c r="H27" s="627">
        <f>ROUND(H25+H26,0)</f>
        <v>0</v>
      </c>
      <c r="I27" s="627">
        <f>ROUND(I25+I26,0)</f>
        <v>0</v>
      </c>
      <c r="J27" s="627">
        <f>ROUND(J25+J26,0)</f>
        <v>0</v>
      </c>
      <c r="K27" s="628">
        <f>ROUND(K25+K26,0)</f>
        <v>0</v>
      </c>
    </row>
    <row r="28" spans="2:11" ht="21" customHeight="1">
      <c r="B28" s="607">
        <v>12</v>
      </c>
      <c r="C28" s="629" t="s">
        <v>92</v>
      </c>
      <c r="D28" s="626"/>
      <c r="E28" s="626"/>
      <c r="F28" s="626"/>
      <c r="G28" s="626"/>
      <c r="H28" s="630">
        <f>IF(I12=0,0,ROUND(H27/I12,4))</f>
        <v>0</v>
      </c>
      <c r="I28" s="630">
        <f>IF(I13=0,0,ROUND(I27/I13,4))</f>
        <v>0</v>
      </c>
      <c r="J28" s="630">
        <f>IF(I14=0,0,ROUND(J27/I14,4))</f>
        <v>0</v>
      </c>
      <c r="K28" s="631">
        <f>IF(SUM(I15:I18)=0,0,ROUND(K27/SUM(I15:I18),4))</f>
        <v>0</v>
      </c>
    </row>
    <row r="29" spans="2:11" ht="21" customHeight="1">
      <c r="B29" s="607">
        <v>13</v>
      </c>
      <c r="C29" s="629" t="s">
        <v>93</v>
      </c>
      <c r="D29" s="626"/>
      <c r="E29" s="632" t="s">
        <v>94</v>
      </c>
      <c r="F29" s="633"/>
      <c r="G29" s="634"/>
      <c r="H29" s="610"/>
      <c r="I29" s="635"/>
      <c r="J29" s="635"/>
      <c r="K29" s="636"/>
    </row>
    <row r="30" spans="2:11" ht="21" customHeight="1">
      <c r="B30" s="607">
        <v>14</v>
      </c>
      <c r="C30" s="608" t="s">
        <v>95</v>
      </c>
      <c r="D30" s="626"/>
      <c r="E30" s="626"/>
      <c r="F30" s="626"/>
      <c r="G30" s="626"/>
      <c r="H30" s="627">
        <f>ROUND(H29*H28,0)</f>
        <v>0</v>
      </c>
      <c r="I30" s="627">
        <f>ROUND(I29*I28,0)</f>
        <v>0</v>
      </c>
      <c r="J30" s="627">
        <f>ROUND(J29*J28,0)</f>
        <v>0</v>
      </c>
      <c r="K30" s="628">
        <f>ROUND(K29*K28,0)</f>
        <v>0</v>
      </c>
    </row>
    <row r="31" spans="2:11" ht="21" customHeight="1">
      <c r="B31" s="607">
        <v>15</v>
      </c>
      <c r="C31" s="608" t="s">
        <v>96</v>
      </c>
      <c r="D31" s="626"/>
      <c r="E31" s="626"/>
      <c r="F31" s="626"/>
      <c r="G31" s="626"/>
      <c r="H31" s="627">
        <f>+Schedule_N!$D$20+Schedule_N!$E$20</f>
        <v>0</v>
      </c>
      <c r="I31" s="627">
        <f>+Schedule_N!$D$20+Schedule_N!$E$20</f>
        <v>0</v>
      </c>
      <c r="J31" s="627">
        <f>+Schedule_N!$D$20+Schedule_N!$E$20</f>
        <v>0</v>
      </c>
      <c r="K31" s="628">
        <f>+Schedule_N!$D$20+Schedule_N!$E$20</f>
        <v>0</v>
      </c>
    </row>
    <row r="32" spans="2:11" ht="21" customHeight="1">
      <c r="B32" s="607">
        <v>16</v>
      </c>
      <c r="C32" s="629" t="s">
        <v>656</v>
      </c>
      <c r="D32" s="626"/>
      <c r="E32" s="626"/>
      <c r="F32" s="626"/>
      <c r="G32" s="626"/>
      <c r="H32" s="630">
        <f>IF(H31=0,0,ROUND(H30/H31,4))</f>
        <v>0</v>
      </c>
      <c r="I32" s="630">
        <f>IF(I31=0,0,ROUND(I30/I31,4))</f>
        <v>0</v>
      </c>
      <c r="J32" s="630">
        <f>IF(J31=0,0,ROUND(J30/J31,4))</f>
        <v>0</v>
      </c>
      <c r="K32" s="631">
        <f>IF(K31=0,0,ROUND(K30/K31,4))</f>
        <v>0</v>
      </c>
    </row>
    <row r="33" spans="2:11" ht="21" customHeight="1">
      <c r="B33" s="607">
        <v>17</v>
      </c>
      <c r="C33" s="608" t="s">
        <v>604</v>
      </c>
      <c r="D33" s="626"/>
      <c r="E33" s="626"/>
      <c r="F33" s="626"/>
      <c r="G33" s="626"/>
      <c r="H33" s="627">
        <f>+Schedule_N!$K$20</f>
        <v>0</v>
      </c>
      <c r="I33" s="627">
        <f>+Schedule_N!$K$20</f>
        <v>0</v>
      </c>
      <c r="J33" s="627">
        <f>+Schedule_N!$K$20</f>
        <v>0</v>
      </c>
      <c r="K33" s="628">
        <f>+Schedule_N!$K$20</f>
        <v>0</v>
      </c>
    </row>
    <row r="34" spans="2:11" ht="21" customHeight="1">
      <c r="B34" s="607">
        <v>18</v>
      </c>
      <c r="C34" s="608" t="s">
        <v>655</v>
      </c>
      <c r="D34" s="626"/>
      <c r="E34" s="626"/>
      <c r="F34" s="626"/>
      <c r="G34" s="626"/>
      <c r="H34" s="627">
        <f>ROUND(+H32*H33,0)</f>
        <v>0</v>
      </c>
      <c r="I34" s="627">
        <f>ROUND(+I32*I33,0)</f>
        <v>0</v>
      </c>
      <c r="J34" s="627">
        <f>ROUND(+J32*J33,0)</f>
        <v>0</v>
      </c>
      <c r="K34" s="628">
        <f>ROUND(+K32*K33,0)</f>
        <v>0</v>
      </c>
    </row>
    <row r="35" spans="2:11" ht="21" customHeight="1">
      <c r="B35" s="607">
        <v>19</v>
      </c>
      <c r="C35" s="608" t="s">
        <v>97</v>
      </c>
      <c r="D35" s="626"/>
      <c r="E35" s="626"/>
      <c r="F35" s="626"/>
      <c r="G35" s="626"/>
      <c r="H35" s="610"/>
      <c r="I35" s="610"/>
      <c r="J35" s="610"/>
      <c r="K35" s="637"/>
    </row>
    <row r="36" spans="2:11" ht="21" customHeight="1" thickBot="1">
      <c r="B36" s="607">
        <v>20</v>
      </c>
      <c r="C36" s="1747" t="s">
        <v>972</v>
      </c>
      <c r="D36" s="638"/>
      <c r="E36" s="638"/>
      <c r="F36" s="638"/>
      <c r="G36" s="639"/>
      <c r="H36" s="640">
        <f>ROUND(H34+H35,0)</f>
        <v>0</v>
      </c>
      <c r="I36" s="640">
        <f>ROUND(I34+I35,0)</f>
        <v>0</v>
      </c>
      <c r="J36" s="640">
        <f>ROUND(J34+J35,0)</f>
        <v>0</v>
      </c>
      <c r="K36" s="641">
        <f>ROUND(K34+K35,0)</f>
        <v>0</v>
      </c>
    </row>
    <row r="37" ht="19.5" customHeight="1" thickBot="1"/>
    <row r="38" spans="2:11" ht="27.75" customHeight="1" thickBot="1">
      <c r="B38" s="612">
        <v>21</v>
      </c>
      <c r="C38" s="642" t="s">
        <v>654</v>
      </c>
      <c r="D38" s="642"/>
      <c r="E38" s="642"/>
      <c r="F38" s="642"/>
      <c r="G38" s="642" t="str">
        <f>"(Must equal Schedule G, Col. 5,Line "&amp;Schedule_G!B124&amp;" )"</f>
        <v>(Must equal Schedule G, Col. 5,Line 98 )</v>
      </c>
      <c r="H38" s="642"/>
      <c r="I38" s="643"/>
      <c r="J38" s="644">
        <f>SUM(H36:K36)</f>
        <v>0</v>
      </c>
      <c r="K38" s="643"/>
    </row>
  </sheetData>
  <sheetProtection password="EE7C" sheet="1"/>
  <printOptions/>
  <pageMargins left="0.2" right="0.22" top="0.51" bottom="0.34" header="0.17" footer="0.21"/>
  <pageSetup fitToHeight="1" fitToWidth="1" horizontalDpi="600" verticalDpi="600" orientation="landscape" scale="63" r:id="rId1"/>
  <headerFooter alignWithMargins="0">
    <oddFooter>&amp;LDSHS 23-003&amp;C24&amp;RSchedule G-7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workbookViewId="0" topLeftCell="A1">
      <selection activeCell="D1" sqref="D1"/>
    </sheetView>
  </sheetViews>
  <sheetFormatPr defaultColWidth="9.140625" defaultRowHeight="12.75"/>
  <cols>
    <col min="1" max="1" width="13.7109375" style="645" customWidth="1"/>
    <col min="2" max="2" width="16.00390625" style="645" customWidth="1"/>
    <col min="3" max="3" width="75.57421875" style="645" customWidth="1"/>
    <col min="4" max="4" width="16.421875" style="645" customWidth="1"/>
    <col min="5" max="6" width="12.7109375" style="645" customWidth="1"/>
    <col min="7" max="7" width="13.140625" style="645" customWidth="1"/>
    <col min="8" max="8" width="19.7109375" style="645" customWidth="1"/>
    <col min="9" max="9" width="20.140625" style="645" customWidth="1"/>
    <col min="10" max="10" width="21.140625" style="645" customWidth="1"/>
    <col min="11" max="16384" width="9.140625" style="645" customWidth="1"/>
  </cols>
  <sheetData>
    <row r="1" spans="1:4" ht="16.5" thickBot="1">
      <c r="A1" s="646" t="s">
        <v>265</v>
      </c>
      <c r="B1" s="925">
        <f>Schedule_B!D1</f>
        <v>0</v>
      </c>
      <c r="C1" s="569" t="s">
        <v>663</v>
      </c>
      <c r="D1" s="1375"/>
    </row>
    <row r="2" spans="1:3" ht="15.75">
      <c r="A2" s="646" t="s">
        <v>266</v>
      </c>
      <c r="B2" s="647">
        <f>+Schedule_A!$I$8</f>
        <v>0</v>
      </c>
      <c r="C2" s="645" t="str">
        <f>Schedule_A!A3</f>
        <v>NURSING FACILITY 2019 COST REPORT</v>
      </c>
    </row>
    <row r="3" ht="19.5" thickBot="1">
      <c r="C3" s="1761" t="s">
        <v>1016</v>
      </c>
    </row>
    <row r="4" spans="2:4" ht="43.5" customHeight="1">
      <c r="B4" s="648" t="s">
        <v>181</v>
      </c>
      <c r="C4" s="649"/>
      <c r="D4" s="650" t="s">
        <v>190</v>
      </c>
    </row>
    <row r="5" spans="2:4" ht="33" customHeight="1">
      <c r="B5" s="651" t="s">
        <v>337</v>
      </c>
      <c r="C5" s="1042" t="s">
        <v>598</v>
      </c>
      <c r="D5" s="1264">
        <v>0</v>
      </c>
    </row>
    <row r="6" spans="2:4" ht="33" customHeight="1">
      <c r="B6" s="652" t="s">
        <v>338</v>
      </c>
      <c r="C6" s="653" t="s">
        <v>213</v>
      </c>
      <c r="D6" s="654"/>
    </row>
    <row r="7" spans="2:4" ht="33" customHeight="1">
      <c r="B7" s="655" t="s">
        <v>339</v>
      </c>
      <c r="C7" s="934" t="s">
        <v>548</v>
      </c>
      <c r="D7" s="657"/>
    </row>
    <row r="8" spans="2:4" ht="18" customHeight="1">
      <c r="B8" s="655" t="s">
        <v>340</v>
      </c>
      <c r="C8" s="658" t="s">
        <v>214</v>
      </c>
      <c r="D8" s="657"/>
    </row>
    <row r="9" spans="2:4" ht="15.75" customHeight="1">
      <c r="B9" s="655" t="s">
        <v>215</v>
      </c>
      <c r="C9" s="1239" t="s">
        <v>549</v>
      </c>
      <c r="D9" s="1160">
        <f>ROUND(D5-D6-D7-D8,0)</f>
        <v>0</v>
      </c>
    </row>
    <row r="10" spans="2:4" ht="18" customHeight="1">
      <c r="B10" s="655" t="s">
        <v>216</v>
      </c>
      <c r="C10" s="658" t="s">
        <v>217</v>
      </c>
      <c r="D10" s="1160">
        <f>Schedule_N!D20+Schedule_N!E20</f>
        <v>0</v>
      </c>
    </row>
    <row r="11" spans="2:4" ht="33" customHeight="1">
      <c r="B11" s="655" t="s">
        <v>218</v>
      </c>
      <c r="C11" s="656" t="s">
        <v>219</v>
      </c>
      <c r="D11" s="1161">
        <f>IF(D9=0,0,ROUND(D9/D10,4))</f>
        <v>0</v>
      </c>
    </row>
    <row r="12" spans="2:4" ht="18" customHeight="1">
      <c r="B12" s="655" t="s">
        <v>220</v>
      </c>
      <c r="C12" s="658" t="s">
        <v>605</v>
      </c>
      <c r="D12" s="1162">
        <f>Schedule_N!K20</f>
        <v>0</v>
      </c>
    </row>
    <row r="13" spans="2:4" ht="33" customHeight="1" thickBot="1">
      <c r="B13" s="659" t="s">
        <v>457</v>
      </c>
      <c r="C13" s="1128" t="str">
        <f>"TOTAL ALLOWABLE BAD DEBT FOR MEDICAID COST REPORT                     (Line 7 times line 8 and must equal Schedule G, column 5, line "&amp;Schedule_G!B222&amp;")"</f>
        <v>TOTAL ALLOWABLE BAD DEBT FOR MEDICAID COST REPORT                     (Line 7 times line 8 and must equal Schedule G, column 5, line 176)</v>
      </c>
      <c r="D13" s="660">
        <f>ROUND(D11*D12,0)</f>
        <v>0</v>
      </c>
    </row>
  </sheetData>
  <sheetProtection password="EE7C" sheet="1"/>
  <printOptions/>
  <pageMargins left="0.25" right="0.26" top="0.55" bottom="0.7" header="0.25" footer="0.25"/>
  <pageSetup fitToHeight="1" fitToWidth="1" horizontalDpi="600" verticalDpi="600" orientation="portrait" scale="84" r:id="rId1"/>
  <headerFooter alignWithMargins="0">
    <oddFooter>&amp;LDSHS 23-003 &amp;C25&amp;RSchedule G-8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18"/>
  <sheetViews>
    <sheetView workbookViewId="0" topLeftCell="A1">
      <selection activeCell="B2" sqref="B2"/>
    </sheetView>
  </sheetViews>
  <sheetFormatPr defaultColWidth="9.57421875" defaultRowHeight="12.75"/>
  <cols>
    <col min="1" max="1" width="48.28125" style="1170" customWidth="1"/>
    <col min="2" max="2" width="114.57421875" style="1170" customWidth="1"/>
    <col min="3" max="3" width="43.57421875" style="1170" customWidth="1"/>
    <col min="4" max="4" width="18.57421875" style="1170" customWidth="1"/>
    <col min="5" max="7" width="10.140625" style="1170" customWidth="1"/>
    <col min="8" max="16384" width="9.57421875" style="1170" customWidth="1"/>
  </cols>
  <sheetData>
    <row r="1" spans="1:4" s="1165" customFormat="1" ht="15.75">
      <c r="A1" s="1164" t="s">
        <v>265</v>
      </c>
      <c r="B1" s="926">
        <f>_C000027</f>
        <v>0</v>
      </c>
      <c r="D1" s="1166"/>
    </row>
    <row r="2" spans="1:16" s="1165" customFormat="1" ht="15.75">
      <c r="A2" s="1164" t="s">
        <v>266</v>
      </c>
      <c r="B2" s="663">
        <f>_M000002</f>
        <v>0</v>
      </c>
      <c r="C2" s="1165" t="str">
        <f>Schedule_A!A3</f>
        <v>NURSING FACILITY 2019 COST REPORT</v>
      </c>
      <c r="D2" s="1167"/>
      <c r="E2" s="1167"/>
      <c r="F2" s="1168"/>
      <c r="G2" s="1168"/>
      <c r="H2" s="1168"/>
      <c r="I2" s="1167"/>
      <c r="J2" s="1167"/>
      <c r="P2" s="1169"/>
    </row>
    <row r="3" spans="1:11" s="1165" customFormat="1" ht="18" customHeight="1">
      <c r="A3" s="1168"/>
      <c r="B3" s="1663"/>
      <c r="C3" s="1168"/>
      <c r="D3" s="1168"/>
      <c r="E3" s="1168"/>
      <c r="F3" s="1168"/>
      <c r="G3" s="1168"/>
      <c r="H3" s="1168"/>
      <c r="I3" s="1168"/>
      <c r="K3" s="1168"/>
    </row>
    <row r="4" spans="1:6" s="1165" customFormat="1" ht="34.5" customHeight="1">
      <c r="A4" s="1883" t="s">
        <v>758</v>
      </c>
      <c r="B4" s="1884"/>
      <c r="C4" s="1884"/>
      <c r="D4" s="1170"/>
      <c r="E4" s="1170"/>
      <c r="F4" s="1170"/>
    </row>
    <row r="5" spans="1:7" ht="15" customHeight="1" thickBot="1">
      <c r="A5" s="1171"/>
      <c r="B5" s="1171"/>
      <c r="C5" s="1171"/>
      <c r="D5" s="1173"/>
      <c r="G5" s="1173"/>
    </row>
    <row r="6" spans="1:8" ht="34.5" customHeight="1" thickBot="1">
      <c r="A6" s="1625" t="s">
        <v>704</v>
      </c>
      <c r="B6" s="1625" t="s">
        <v>756</v>
      </c>
      <c r="C6" s="1625" t="s">
        <v>705</v>
      </c>
      <c r="D6" s="1173"/>
      <c r="E6" s="1173"/>
      <c r="F6" s="1173"/>
      <c r="G6" s="1173"/>
      <c r="H6" s="1173"/>
    </row>
    <row r="7" spans="1:8" ht="165.75" customHeight="1" thickBot="1">
      <c r="A7" s="1626" t="s">
        <v>2</v>
      </c>
      <c r="B7" s="1627" t="s">
        <v>721</v>
      </c>
      <c r="C7" s="1628">
        <v>0</v>
      </c>
      <c r="D7" s="1644"/>
      <c r="E7" s="1173"/>
      <c r="F7" s="1173"/>
      <c r="G7" s="1173"/>
      <c r="H7" s="1173"/>
    </row>
    <row r="8" spans="1:8" ht="185.25" customHeight="1" thickBot="1">
      <c r="A8" s="1626" t="s">
        <v>3</v>
      </c>
      <c r="B8" s="1627" t="s">
        <v>722</v>
      </c>
      <c r="C8" s="1628">
        <v>0</v>
      </c>
      <c r="D8" s="1644"/>
      <c r="E8" s="1173"/>
      <c r="F8" s="1173"/>
      <c r="G8" s="1173"/>
      <c r="H8" s="1173"/>
    </row>
    <row r="9" spans="1:8" ht="37.5" customHeight="1" thickBot="1">
      <c r="A9" s="1629"/>
      <c r="B9" s="1625" t="s">
        <v>757</v>
      </c>
      <c r="C9" s="1630" t="e">
        <f>ROUND(C8/C7,4)</f>
        <v>#DIV/0!</v>
      </c>
      <c r="D9" s="1510"/>
      <c r="E9" s="1173"/>
      <c r="F9" s="1173"/>
      <c r="G9" s="1173"/>
      <c r="H9" s="1173"/>
    </row>
    <row r="10" spans="1:8" ht="15" customHeight="1">
      <c r="A10" s="1175"/>
      <c r="B10" s="1175"/>
      <c r="C10" s="1175"/>
      <c r="D10" s="1173"/>
      <c r="E10" s="1173"/>
      <c r="F10" s="1173"/>
      <c r="G10" s="1173"/>
      <c r="H10" s="1173"/>
    </row>
    <row r="11" spans="1:8" ht="15" customHeight="1">
      <c r="A11" s="1175"/>
      <c r="B11" s="1175"/>
      <c r="C11" s="1175"/>
      <c r="D11" s="1173"/>
      <c r="E11" s="1173"/>
      <c r="F11" s="1173"/>
      <c r="G11" s="1173"/>
      <c r="H11" s="1173"/>
    </row>
    <row r="12" spans="1:8" ht="15" customHeight="1">
      <c r="A12" s="1175"/>
      <c r="B12" s="1175"/>
      <c r="C12" s="1175"/>
      <c r="D12" s="1173"/>
      <c r="E12" s="1173"/>
      <c r="F12" s="1173"/>
      <c r="G12" s="1173"/>
      <c r="H12" s="1173"/>
    </row>
    <row r="13" spans="1:8" s="1176" customFormat="1" ht="15" customHeight="1">
      <c r="A13" s="1172"/>
      <c r="B13" s="1172"/>
      <c r="C13" s="1172"/>
      <c r="D13" s="1174"/>
      <c r="E13" s="1174"/>
      <c r="F13" s="1174"/>
      <c r="G13" s="1174"/>
      <c r="H13" s="1174"/>
    </row>
    <row r="14" spans="4:8" s="1176" customFormat="1" ht="15" customHeight="1">
      <c r="D14" s="1174"/>
      <c r="E14" s="1174"/>
      <c r="F14" s="1174"/>
      <c r="G14" s="1174"/>
      <c r="H14" s="1174"/>
    </row>
    <row r="15" s="1176" customFormat="1" ht="15" customHeight="1"/>
    <row r="16" spans="1:3" s="1176" customFormat="1" ht="15" customHeight="1">
      <c r="A16" s="1177"/>
      <c r="B16" s="1178"/>
      <c r="C16" s="1178"/>
    </row>
    <row r="17" spans="1:3" ht="15" customHeight="1">
      <c r="A17" s="1179"/>
      <c r="B17" s="1178"/>
      <c r="C17" s="1180"/>
    </row>
    <row r="18" spans="1:4" ht="15" customHeight="1">
      <c r="A18" s="1181"/>
      <c r="B18" s="1181"/>
      <c r="C18" s="1181"/>
      <c r="D18" s="1181"/>
    </row>
    <row r="19" ht="15" customHeight="1"/>
    <row r="20" ht="15" customHeight="1"/>
    <row r="21" ht="15" customHeight="1"/>
    <row r="22" ht="15" customHeight="1"/>
  </sheetData>
  <sheetProtection password="EE7C" sheet="1"/>
  <mergeCells count="1">
    <mergeCell ref="A4:C4"/>
  </mergeCells>
  <printOptions/>
  <pageMargins left="0.25" right="0.25" top="0.44" bottom="0.41" header="0.22" footer="0.19"/>
  <pageSetup fitToHeight="1" fitToWidth="1" horizontalDpi="600" verticalDpi="600" orientation="landscape" scale="65" r:id="rId1"/>
  <headerFooter alignWithMargins="0">
    <oddFooter>&amp;LDSHS 23-003  &amp;C26&amp;RSchedule L</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S24"/>
  <sheetViews>
    <sheetView zoomScale="90" zoomScaleNormal="90" workbookViewId="0" topLeftCell="A1">
      <selection activeCell="D8" sqref="D8"/>
    </sheetView>
  </sheetViews>
  <sheetFormatPr defaultColWidth="9.140625" defaultRowHeight="12.75"/>
  <cols>
    <col min="1" max="1" width="1.28515625" style="661" customWidth="1"/>
    <col min="2" max="2" width="5.7109375" style="661" customWidth="1"/>
    <col min="3" max="3" width="25.57421875" style="661" customWidth="1"/>
    <col min="4" max="4" width="24.28125" style="661" customWidth="1"/>
    <col min="5" max="5" width="11.140625" style="661" customWidth="1"/>
    <col min="6" max="6" width="15.421875" style="661" customWidth="1"/>
    <col min="7" max="7" width="26.7109375" style="661" customWidth="1"/>
    <col min="8" max="8" width="14.7109375" style="661" customWidth="1"/>
    <col min="9" max="9" width="23.00390625" style="661" customWidth="1"/>
    <col min="10" max="10" width="5.7109375" style="661" customWidth="1"/>
    <col min="11" max="12" width="9.140625" style="661" customWidth="1"/>
    <col min="13" max="18" width="0" style="661" hidden="1" customWidth="1"/>
    <col min="19" max="19" width="19.00390625" style="661" hidden="1" customWidth="1"/>
    <col min="20" max="16384" width="9.140625" style="661" customWidth="1"/>
  </cols>
  <sheetData>
    <row r="1" spans="3:7" ht="19.5" customHeight="1">
      <c r="C1" s="662" t="s">
        <v>265</v>
      </c>
      <c r="D1" s="926">
        <f>Schedule_B!D1</f>
        <v>0</v>
      </c>
      <c r="E1" s="664"/>
      <c r="F1" s="664"/>
      <c r="G1" s="664"/>
    </row>
    <row r="2" spans="3:19" ht="19.5" customHeight="1">
      <c r="C2" s="662" t="s">
        <v>266</v>
      </c>
      <c r="D2" s="663">
        <f>+Schedule_A!$I$8</f>
        <v>0</v>
      </c>
      <c r="E2" s="664" t="str">
        <f>Schedule_A!A3</f>
        <v>NURSING FACILITY 2019 COST REPORT</v>
      </c>
      <c r="F2" s="664"/>
      <c r="G2" s="664"/>
      <c r="R2" s="665"/>
      <c r="S2" s="665"/>
    </row>
    <row r="3" ht="19.5" customHeight="1"/>
    <row r="4" spans="1:12" ht="27.75" customHeight="1">
      <c r="A4" s="666" t="s">
        <v>222</v>
      </c>
      <c r="B4" s="667"/>
      <c r="C4" s="667"/>
      <c r="D4" s="667"/>
      <c r="E4" s="667"/>
      <c r="F4" s="667"/>
      <c r="G4" s="667"/>
      <c r="H4" s="667"/>
      <c r="I4" s="667"/>
      <c r="L4" s="665"/>
    </row>
    <row r="5" ht="6" customHeight="1" thickBot="1"/>
    <row r="6" spans="2:9" ht="78" customHeight="1">
      <c r="B6" s="668" t="s">
        <v>181</v>
      </c>
      <c r="C6" s="669" t="s">
        <v>223</v>
      </c>
      <c r="D6" s="670" t="s">
        <v>688</v>
      </c>
      <c r="E6" s="671" t="s">
        <v>224</v>
      </c>
      <c r="F6" s="672" t="s">
        <v>689</v>
      </c>
      <c r="G6" s="672" t="s">
        <v>690</v>
      </c>
      <c r="H6" s="670" t="s">
        <v>225</v>
      </c>
      <c r="I6" s="673" t="s">
        <v>226</v>
      </c>
    </row>
    <row r="7" spans="2:19" ht="15.75">
      <c r="B7" s="674"/>
      <c r="C7" s="675"/>
      <c r="D7" s="676" t="s">
        <v>473</v>
      </c>
      <c r="E7" s="676" t="s">
        <v>474</v>
      </c>
      <c r="F7" s="676" t="s">
        <v>475</v>
      </c>
      <c r="G7" s="676" t="s">
        <v>476</v>
      </c>
      <c r="H7" s="676" t="s">
        <v>477</v>
      </c>
      <c r="I7" s="677" t="s">
        <v>478</v>
      </c>
      <c r="R7" s="665"/>
      <c r="S7" s="678"/>
    </row>
    <row r="8" spans="2:19" ht="33.75" customHeight="1">
      <c r="B8" s="679">
        <v>1</v>
      </c>
      <c r="C8" s="680" t="s">
        <v>227</v>
      </c>
      <c r="D8" s="681"/>
      <c r="E8" s="682"/>
      <c r="F8" s="683">
        <f aca="true" t="shared" si="0" ref="F8:F19">ROUND(+D8-E8,0)</f>
        <v>0</v>
      </c>
      <c r="G8" s="684"/>
      <c r="H8" s="684"/>
      <c r="I8" s="1321">
        <f aca="true" t="shared" si="1" ref="I8:I20">ROUND(+G8-H8,0)</f>
        <v>0</v>
      </c>
      <c r="M8" s="685">
        <f aca="true" t="shared" si="2" ref="M8:M20">ROUND(D8,0)</f>
        <v>0</v>
      </c>
      <c r="N8" s="685">
        <f aca="true" t="shared" si="3" ref="N8:N20">ROUND(E8,0)</f>
        <v>0</v>
      </c>
      <c r="O8" s="685">
        <f aca="true" t="shared" si="4" ref="O8:O20">ROUND(F8,0)</f>
        <v>0</v>
      </c>
      <c r="P8" s="685">
        <f aca="true" t="shared" si="5" ref="P8:P20">ROUND(G8,0)</f>
        <v>0</v>
      </c>
      <c r="Q8" s="685">
        <f aca="true" t="shared" si="6" ref="Q8:Q20">ROUND(H8,0)</f>
        <v>0</v>
      </c>
      <c r="R8" s="685">
        <f aca="true" t="shared" si="7" ref="R8:R20">ROUND(I8,0)</f>
        <v>0</v>
      </c>
      <c r="S8" s="685" t="e">
        <f>ROUND(#REF!,0)</f>
        <v>#REF!</v>
      </c>
    </row>
    <row r="9" spans="2:19" ht="33.75" customHeight="1">
      <c r="B9" s="679">
        <v>2</v>
      </c>
      <c r="C9" s="680" t="s">
        <v>228</v>
      </c>
      <c r="D9" s="681"/>
      <c r="E9" s="682"/>
      <c r="F9" s="683">
        <f t="shared" si="0"/>
        <v>0</v>
      </c>
      <c r="G9" s="684"/>
      <c r="H9" s="684"/>
      <c r="I9" s="1321">
        <f t="shared" si="1"/>
        <v>0</v>
      </c>
      <c r="M9" s="685">
        <f t="shared" si="2"/>
        <v>0</v>
      </c>
      <c r="N9" s="685">
        <f t="shared" si="3"/>
        <v>0</v>
      </c>
      <c r="O9" s="685">
        <f t="shared" si="4"/>
        <v>0</v>
      </c>
      <c r="P9" s="685">
        <f t="shared" si="5"/>
        <v>0</v>
      </c>
      <c r="Q9" s="685">
        <f t="shared" si="6"/>
        <v>0</v>
      </c>
      <c r="R9" s="685">
        <f t="shared" si="7"/>
        <v>0</v>
      </c>
      <c r="S9" s="685" t="e">
        <f>ROUND(#REF!,0)</f>
        <v>#REF!</v>
      </c>
    </row>
    <row r="10" spans="2:19" ht="33.75" customHeight="1">
      <c r="B10" s="679">
        <v>3</v>
      </c>
      <c r="C10" s="680" t="s">
        <v>229</v>
      </c>
      <c r="D10" s="681"/>
      <c r="E10" s="682"/>
      <c r="F10" s="683">
        <f t="shared" si="0"/>
        <v>0</v>
      </c>
      <c r="G10" s="684"/>
      <c r="H10" s="684"/>
      <c r="I10" s="1321">
        <f t="shared" si="1"/>
        <v>0</v>
      </c>
      <c r="J10" s="661" t="s">
        <v>0</v>
      </c>
      <c r="M10" s="685">
        <f t="shared" si="2"/>
        <v>0</v>
      </c>
      <c r="N10" s="685">
        <f t="shared" si="3"/>
        <v>0</v>
      </c>
      <c r="O10" s="685">
        <f t="shared" si="4"/>
        <v>0</v>
      </c>
      <c r="P10" s="685">
        <f t="shared" si="5"/>
        <v>0</v>
      </c>
      <c r="Q10" s="685">
        <f t="shared" si="6"/>
        <v>0</v>
      </c>
      <c r="R10" s="685">
        <f t="shared" si="7"/>
        <v>0</v>
      </c>
      <c r="S10" s="685" t="e">
        <f>ROUND(#REF!,0)</f>
        <v>#REF!</v>
      </c>
    </row>
    <row r="11" spans="2:19" ht="33.75" customHeight="1">
      <c r="B11" s="679">
        <v>4</v>
      </c>
      <c r="C11" s="680" t="s">
        <v>230</v>
      </c>
      <c r="D11" s="681"/>
      <c r="E11" s="682"/>
      <c r="F11" s="683">
        <f t="shared" si="0"/>
        <v>0</v>
      </c>
      <c r="G11" s="684"/>
      <c r="H11" s="684"/>
      <c r="I11" s="1321">
        <f t="shared" si="1"/>
        <v>0</v>
      </c>
      <c r="M11" s="685">
        <f t="shared" si="2"/>
        <v>0</v>
      </c>
      <c r="N11" s="685">
        <f t="shared" si="3"/>
        <v>0</v>
      </c>
      <c r="O11" s="685">
        <f t="shared" si="4"/>
        <v>0</v>
      </c>
      <c r="P11" s="685">
        <f t="shared" si="5"/>
        <v>0</v>
      </c>
      <c r="Q11" s="685">
        <f t="shared" si="6"/>
        <v>0</v>
      </c>
      <c r="R11" s="685">
        <f t="shared" si="7"/>
        <v>0</v>
      </c>
      <c r="S11" s="685" t="e">
        <f>ROUND(#REF!,0)</f>
        <v>#REF!</v>
      </c>
    </row>
    <row r="12" spans="2:19" ht="33.75" customHeight="1">
      <c r="B12" s="679">
        <v>5</v>
      </c>
      <c r="C12" s="680" t="s">
        <v>231</v>
      </c>
      <c r="D12" s="681"/>
      <c r="E12" s="682"/>
      <c r="F12" s="683">
        <f t="shared" si="0"/>
        <v>0</v>
      </c>
      <c r="G12" s="684"/>
      <c r="H12" s="684"/>
      <c r="I12" s="1321">
        <f t="shared" si="1"/>
        <v>0</v>
      </c>
      <c r="M12" s="685">
        <f t="shared" si="2"/>
        <v>0</v>
      </c>
      <c r="N12" s="685">
        <f t="shared" si="3"/>
        <v>0</v>
      </c>
      <c r="O12" s="685">
        <f t="shared" si="4"/>
        <v>0</v>
      </c>
      <c r="P12" s="685">
        <f t="shared" si="5"/>
        <v>0</v>
      </c>
      <c r="Q12" s="685">
        <f t="shared" si="6"/>
        <v>0</v>
      </c>
      <c r="R12" s="685">
        <f t="shared" si="7"/>
        <v>0</v>
      </c>
      <c r="S12" s="685" t="e">
        <f>ROUND(#REF!,0)</f>
        <v>#REF!</v>
      </c>
    </row>
    <row r="13" spans="2:19" ht="33.75" customHeight="1">
      <c r="B13" s="679">
        <v>6</v>
      </c>
      <c r="C13" s="680" t="s">
        <v>232</v>
      </c>
      <c r="D13" s="681"/>
      <c r="E13" s="682"/>
      <c r="F13" s="683">
        <f t="shared" si="0"/>
        <v>0</v>
      </c>
      <c r="G13" s="684"/>
      <c r="H13" s="684"/>
      <c r="I13" s="1321">
        <f t="shared" si="1"/>
        <v>0</v>
      </c>
      <c r="M13" s="685">
        <f t="shared" si="2"/>
        <v>0</v>
      </c>
      <c r="N13" s="685">
        <f t="shared" si="3"/>
        <v>0</v>
      </c>
      <c r="O13" s="685">
        <f t="shared" si="4"/>
        <v>0</v>
      </c>
      <c r="P13" s="685">
        <f t="shared" si="5"/>
        <v>0</v>
      </c>
      <c r="Q13" s="685">
        <f t="shared" si="6"/>
        <v>0</v>
      </c>
      <c r="R13" s="685">
        <f t="shared" si="7"/>
        <v>0</v>
      </c>
      <c r="S13" s="685" t="e">
        <f>ROUND(#REF!,0)</f>
        <v>#REF!</v>
      </c>
    </row>
    <row r="14" spans="2:19" ht="33.75" customHeight="1">
      <c r="B14" s="679">
        <v>7</v>
      </c>
      <c r="C14" s="680" t="s">
        <v>233</v>
      </c>
      <c r="D14" s="681"/>
      <c r="E14" s="682"/>
      <c r="F14" s="683">
        <f t="shared" si="0"/>
        <v>0</v>
      </c>
      <c r="G14" s="684"/>
      <c r="H14" s="684"/>
      <c r="I14" s="1321">
        <f t="shared" si="1"/>
        <v>0</v>
      </c>
      <c r="J14" s="686"/>
      <c r="M14" s="685">
        <f t="shared" si="2"/>
        <v>0</v>
      </c>
      <c r="N14" s="685">
        <f t="shared" si="3"/>
        <v>0</v>
      </c>
      <c r="O14" s="685">
        <f t="shared" si="4"/>
        <v>0</v>
      </c>
      <c r="P14" s="685">
        <f t="shared" si="5"/>
        <v>0</v>
      </c>
      <c r="Q14" s="685">
        <f t="shared" si="6"/>
        <v>0</v>
      </c>
      <c r="R14" s="685">
        <f t="shared" si="7"/>
        <v>0</v>
      </c>
      <c r="S14" s="685" t="e">
        <f>ROUND(#REF!,0)</f>
        <v>#REF!</v>
      </c>
    </row>
    <row r="15" spans="2:19" ht="33.75" customHeight="1">
      <c r="B15" s="679">
        <v>8</v>
      </c>
      <c r="C15" s="680" t="s">
        <v>234</v>
      </c>
      <c r="D15" s="681"/>
      <c r="E15" s="682"/>
      <c r="F15" s="683">
        <f t="shared" si="0"/>
        <v>0</v>
      </c>
      <c r="G15" s="684"/>
      <c r="H15" s="684"/>
      <c r="I15" s="1321">
        <f t="shared" si="1"/>
        <v>0</v>
      </c>
      <c r="M15" s="685">
        <f t="shared" si="2"/>
        <v>0</v>
      </c>
      <c r="N15" s="685">
        <f t="shared" si="3"/>
        <v>0</v>
      </c>
      <c r="O15" s="685">
        <f t="shared" si="4"/>
        <v>0</v>
      </c>
      <c r="P15" s="685">
        <f t="shared" si="5"/>
        <v>0</v>
      </c>
      <c r="Q15" s="685">
        <f t="shared" si="6"/>
        <v>0</v>
      </c>
      <c r="R15" s="685">
        <f t="shared" si="7"/>
        <v>0</v>
      </c>
      <c r="S15" s="685" t="e">
        <f>ROUND(#REF!,0)</f>
        <v>#REF!</v>
      </c>
    </row>
    <row r="16" spans="2:19" ht="33.75" customHeight="1">
      <c r="B16" s="679">
        <v>9</v>
      </c>
      <c r="C16" s="680" t="s">
        <v>235</v>
      </c>
      <c r="D16" s="681"/>
      <c r="E16" s="682"/>
      <c r="F16" s="683">
        <f t="shared" si="0"/>
        <v>0</v>
      </c>
      <c r="G16" s="684"/>
      <c r="H16" s="684"/>
      <c r="I16" s="1321">
        <f t="shared" si="1"/>
        <v>0</v>
      </c>
      <c r="J16" s="687"/>
      <c r="M16" s="685">
        <f t="shared" si="2"/>
        <v>0</v>
      </c>
      <c r="N16" s="685">
        <f t="shared" si="3"/>
        <v>0</v>
      </c>
      <c r="O16" s="685">
        <f t="shared" si="4"/>
        <v>0</v>
      </c>
      <c r="P16" s="685">
        <f t="shared" si="5"/>
        <v>0</v>
      </c>
      <c r="Q16" s="685">
        <f t="shared" si="6"/>
        <v>0</v>
      </c>
      <c r="R16" s="685">
        <f t="shared" si="7"/>
        <v>0</v>
      </c>
      <c r="S16" s="685" t="e">
        <f>ROUND(#REF!,0)</f>
        <v>#REF!</v>
      </c>
    </row>
    <row r="17" spans="2:19" ht="33.75" customHeight="1">
      <c r="B17" s="679">
        <v>10</v>
      </c>
      <c r="C17" s="680" t="s">
        <v>236</v>
      </c>
      <c r="D17" s="681"/>
      <c r="E17" s="682"/>
      <c r="F17" s="683">
        <f t="shared" si="0"/>
        <v>0</v>
      </c>
      <c r="G17" s="684"/>
      <c r="H17" s="684"/>
      <c r="I17" s="1321">
        <f t="shared" si="1"/>
        <v>0</v>
      </c>
      <c r="M17" s="685">
        <f t="shared" si="2"/>
        <v>0</v>
      </c>
      <c r="N17" s="685">
        <f t="shared" si="3"/>
        <v>0</v>
      </c>
      <c r="O17" s="685">
        <f t="shared" si="4"/>
        <v>0</v>
      </c>
      <c r="P17" s="685">
        <f t="shared" si="5"/>
        <v>0</v>
      </c>
      <c r="Q17" s="685">
        <f t="shared" si="6"/>
        <v>0</v>
      </c>
      <c r="R17" s="685">
        <f t="shared" si="7"/>
        <v>0</v>
      </c>
      <c r="S17" s="685" t="e">
        <f>ROUND(#REF!,0)</f>
        <v>#REF!</v>
      </c>
    </row>
    <row r="18" spans="2:19" ht="33.75" customHeight="1">
      <c r="B18" s="679">
        <v>11</v>
      </c>
      <c r="C18" s="680" t="s">
        <v>237</v>
      </c>
      <c r="D18" s="681"/>
      <c r="E18" s="682"/>
      <c r="F18" s="683">
        <f t="shared" si="0"/>
        <v>0</v>
      </c>
      <c r="G18" s="684"/>
      <c r="H18" s="684"/>
      <c r="I18" s="1321">
        <f t="shared" si="1"/>
        <v>0</v>
      </c>
      <c r="M18" s="685">
        <f t="shared" si="2"/>
        <v>0</v>
      </c>
      <c r="N18" s="685">
        <f t="shared" si="3"/>
        <v>0</v>
      </c>
      <c r="O18" s="685">
        <f t="shared" si="4"/>
        <v>0</v>
      </c>
      <c r="P18" s="685">
        <f t="shared" si="5"/>
        <v>0</v>
      </c>
      <c r="Q18" s="685">
        <f t="shared" si="6"/>
        <v>0</v>
      </c>
      <c r="R18" s="685">
        <f t="shared" si="7"/>
        <v>0</v>
      </c>
      <c r="S18" s="685" t="e">
        <f>ROUND(#REF!,0)</f>
        <v>#REF!</v>
      </c>
    </row>
    <row r="19" spans="2:19" ht="33.75" customHeight="1">
      <c r="B19" s="679">
        <v>12</v>
      </c>
      <c r="C19" s="680" t="s">
        <v>238</v>
      </c>
      <c r="D19" s="681"/>
      <c r="E19" s="682"/>
      <c r="F19" s="683">
        <f t="shared" si="0"/>
        <v>0</v>
      </c>
      <c r="G19" s="684"/>
      <c r="H19" s="684"/>
      <c r="I19" s="1321">
        <f t="shared" si="1"/>
        <v>0</v>
      </c>
      <c r="J19" s="687"/>
      <c r="M19" s="685">
        <f t="shared" si="2"/>
        <v>0</v>
      </c>
      <c r="N19" s="685">
        <f t="shared" si="3"/>
        <v>0</v>
      </c>
      <c r="O19" s="685">
        <f t="shared" si="4"/>
        <v>0</v>
      </c>
      <c r="P19" s="685">
        <f t="shared" si="5"/>
        <v>0</v>
      </c>
      <c r="Q19" s="685">
        <f t="shared" si="6"/>
        <v>0</v>
      </c>
      <c r="R19" s="685">
        <f t="shared" si="7"/>
        <v>0</v>
      </c>
      <c r="S19" s="685" t="e">
        <f>ROUND(#REF!,0)</f>
        <v>#REF!</v>
      </c>
    </row>
    <row r="20" spans="2:19" ht="33" customHeight="1">
      <c r="B20" s="679">
        <v>13</v>
      </c>
      <c r="C20" s="688" t="s">
        <v>239</v>
      </c>
      <c r="D20" s="689"/>
      <c r="E20" s="690"/>
      <c r="F20" s="689"/>
      <c r="G20" s="684"/>
      <c r="H20" s="691"/>
      <c r="I20" s="1321">
        <f t="shared" si="1"/>
        <v>0</v>
      </c>
      <c r="M20" s="685">
        <f t="shared" si="2"/>
        <v>0</v>
      </c>
      <c r="N20" s="685">
        <f t="shared" si="3"/>
        <v>0</v>
      </c>
      <c r="O20" s="685">
        <f t="shared" si="4"/>
        <v>0</v>
      </c>
      <c r="P20" s="685">
        <f t="shared" si="5"/>
        <v>0</v>
      </c>
      <c r="Q20" s="685">
        <f t="shared" si="6"/>
        <v>0</v>
      </c>
      <c r="R20" s="685">
        <f t="shared" si="7"/>
        <v>0</v>
      </c>
      <c r="S20" s="685" t="e">
        <f>ROUND(#REF!,0)</f>
        <v>#REF!</v>
      </c>
    </row>
    <row r="21" spans="2:19" ht="33.75" customHeight="1" thickBot="1">
      <c r="B21" s="692">
        <v>14</v>
      </c>
      <c r="C21" s="693" t="s">
        <v>186</v>
      </c>
      <c r="D21" s="694">
        <f aca="true" t="shared" si="8" ref="D21:I21">M21</f>
        <v>0</v>
      </c>
      <c r="E21" s="694">
        <f t="shared" si="8"/>
        <v>0</v>
      </c>
      <c r="F21" s="694">
        <f t="shared" si="8"/>
        <v>0</v>
      </c>
      <c r="G21" s="695">
        <f t="shared" si="8"/>
        <v>0</v>
      </c>
      <c r="H21" s="695">
        <f t="shared" si="8"/>
        <v>0</v>
      </c>
      <c r="I21" s="696">
        <f t="shared" si="8"/>
        <v>0</v>
      </c>
      <c r="M21" s="697">
        <f aca="true" t="shared" si="9" ref="M21:S21">ROUND(SUM(M8:M20),0)</f>
        <v>0</v>
      </c>
      <c r="N21" s="697">
        <f t="shared" si="9"/>
        <v>0</v>
      </c>
      <c r="O21" s="697">
        <f t="shared" si="9"/>
        <v>0</v>
      </c>
      <c r="P21" s="697">
        <f t="shared" si="9"/>
        <v>0</v>
      </c>
      <c r="Q21" s="697">
        <f t="shared" si="9"/>
        <v>0</v>
      </c>
      <c r="R21" s="697">
        <f t="shared" si="9"/>
        <v>0</v>
      </c>
      <c r="S21" s="697" t="e">
        <f t="shared" si="9"/>
        <v>#REF!</v>
      </c>
    </row>
    <row r="22" spans="2:10" ht="19.5" customHeight="1">
      <c r="B22" s="933" t="s">
        <v>630</v>
      </c>
      <c r="J22" s="687"/>
    </row>
    <row r="23" ht="19.5" customHeight="1">
      <c r="B23" s="933" t="str">
        <f>"[2] The total from this Column equals the amount reported on Schedule O, Line "&amp;'Schedule_O '!B71</f>
        <v>[2] The total from this Column equals the amount reported on Schedule O, Line 44</v>
      </c>
    </row>
    <row r="24" ht="15.75">
      <c r="B24" s="661" t="s">
        <v>1033</v>
      </c>
    </row>
  </sheetData>
  <sheetProtection password="EE7C" sheet="1"/>
  <printOptions/>
  <pageMargins left="0.28" right="0.17" top="0.44" bottom="0.25" header="0.18" footer="0"/>
  <pageSetup fitToHeight="1" fitToWidth="1" horizontalDpi="600" verticalDpi="600" orientation="portrait" scale="69" r:id="rId1"/>
  <headerFooter scaleWithDoc="0" alignWithMargins="0">
    <oddFooter>&amp;LDSHS 23-003&amp;C27&amp;R&amp;A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Y37"/>
  <sheetViews>
    <sheetView workbookViewId="0" topLeftCell="A1">
      <selection activeCell="E8" sqref="E8"/>
    </sheetView>
  </sheetViews>
  <sheetFormatPr defaultColWidth="9.140625" defaultRowHeight="12.75"/>
  <cols>
    <col min="1" max="1" width="1.8515625" style="698" customWidth="1"/>
    <col min="2" max="2" width="5.57421875" style="698" customWidth="1"/>
    <col min="3" max="3" width="14.28125" style="698" customWidth="1"/>
    <col min="4" max="4" width="21.57421875" style="698" customWidth="1"/>
    <col min="5" max="5" width="17.28125" style="698" customWidth="1"/>
    <col min="6" max="6" width="14.8515625" style="698" customWidth="1"/>
    <col min="7" max="7" width="16.57421875" style="698" customWidth="1"/>
    <col min="8" max="8" width="14.57421875" style="698" customWidth="1"/>
    <col min="9" max="9" width="13.8515625" style="698" customWidth="1"/>
    <col min="10" max="10" width="17.00390625" style="698" customWidth="1"/>
    <col min="11" max="11" width="19.00390625" style="698" customWidth="1"/>
    <col min="12" max="12" width="13.8515625" style="698" customWidth="1"/>
    <col min="13" max="13" width="19.8515625" style="698" customWidth="1"/>
    <col min="14" max="14" width="27.57421875" style="698" customWidth="1"/>
    <col min="15" max="15" width="12.140625" style="698" customWidth="1"/>
    <col min="16" max="16" width="13.8515625" style="698" customWidth="1"/>
    <col min="17" max="17" width="14.421875" style="698" customWidth="1"/>
    <col min="18" max="18" width="11.57421875" style="698" customWidth="1"/>
    <col min="19" max="19" width="13.140625" style="698" customWidth="1"/>
    <col min="20" max="20" width="9.140625" style="698" customWidth="1"/>
    <col min="21" max="21" width="10.28125" style="698" customWidth="1"/>
    <col min="22" max="22" width="11.28125" style="698" bestFit="1" customWidth="1"/>
    <col min="23" max="16384" width="9.140625" style="698" customWidth="1"/>
  </cols>
  <sheetData>
    <row r="1" spans="3:14" ht="19.5" customHeight="1">
      <c r="C1" s="699" t="s">
        <v>265</v>
      </c>
      <c r="D1" s="927">
        <f>Schedule_B!D1</f>
        <v>0</v>
      </c>
      <c r="E1" s="701"/>
      <c r="F1" s="701"/>
      <c r="G1" s="701"/>
      <c r="H1" s="701"/>
      <c r="N1" s="1886"/>
    </row>
    <row r="2" spans="3:14" ht="19.5" customHeight="1">
      <c r="C2" s="699" t="s">
        <v>266</v>
      </c>
      <c r="D2" s="700">
        <f>+Schedule_A!$I$8</f>
        <v>0</v>
      </c>
      <c r="E2" s="701" t="str">
        <f>Schedule_A!A3</f>
        <v>NURSING FACILITY 2019 COST REPORT</v>
      </c>
      <c r="F2" s="701"/>
      <c r="G2" s="701"/>
      <c r="H2" s="701"/>
      <c r="N2" s="1886"/>
    </row>
    <row r="3" ht="19.5" customHeight="1">
      <c r="N3" s="1886"/>
    </row>
    <row r="4" spans="1:14" ht="23.25">
      <c r="A4" s="1887" t="s">
        <v>4</v>
      </c>
      <c r="B4" s="1887"/>
      <c r="C4" s="1887"/>
      <c r="D4" s="1887"/>
      <c r="E4" s="1887"/>
      <c r="F4" s="1887"/>
      <c r="G4" s="1887"/>
      <c r="H4" s="1887"/>
      <c r="I4" s="1887"/>
      <c r="J4" s="1887"/>
      <c r="K4" s="1887"/>
      <c r="L4" s="1887"/>
      <c r="M4" s="702"/>
      <c r="N4" s="1886"/>
    </row>
    <row r="5" ht="6" customHeight="1" thickBot="1"/>
    <row r="6" spans="2:15" ht="155.25" customHeight="1">
      <c r="B6" s="703" t="s">
        <v>181</v>
      </c>
      <c r="C6" s="704" t="s">
        <v>5</v>
      </c>
      <c r="D6" s="705" t="s">
        <v>6</v>
      </c>
      <c r="E6" s="706" t="s">
        <v>687</v>
      </c>
      <c r="F6" s="706" t="s">
        <v>764</v>
      </c>
      <c r="G6" s="707" t="s">
        <v>7</v>
      </c>
      <c r="H6" s="706" t="s">
        <v>8</v>
      </c>
      <c r="I6" s="706" t="s">
        <v>765</v>
      </c>
      <c r="J6" s="706" t="s">
        <v>599</v>
      </c>
      <c r="K6" s="1322" t="s">
        <v>9</v>
      </c>
      <c r="L6" s="708" t="s">
        <v>10</v>
      </c>
      <c r="N6" s="709"/>
      <c r="O6" s="709"/>
    </row>
    <row r="7" spans="2:17" ht="15.75">
      <c r="B7" s="710"/>
      <c r="C7" s="711"/>
      <c r="D7" s="712" t="s">
        <v>473</v>
      </c>
      <c r="E7" s="712" t="s">
        <v>474</v>
      </c>
      <c r="F7" s="712" t="s">
        <v>475</v>
      </c>
      <c r="G7" s="712" t="s">
        <v>476</v>
      </c>
      <c r="H7" s="712" t="s">
        <v>477</v>
      </c>
      <c r="I7" s="712" t="s">
        <v>478</v>
      </c>
      <c r="J7" s="712" t="s">
        <v>479</v>
      </c>
      <c r="K7" s="712" t="s">
        <v>182</v>
      </c>
      <c r="L7" s="1744" t="s">
        <v>183</v>
      </c>
      <c r="N7" s="709">
        <f>+Schedule_A!$C$39</f>
        <v>0</v>
      </c>
      <c r="P7" s="1885" t="s">
        <v>550</v>
      </c>
      <c r="Q7" s="1885"/>
    </row>
    <row r="8" spans="2:25" ht="33.75" customHeight="1">
      <c r="B8" s="713">
        <v>1</v>
      </c>
      <c r="C8" s="714" t="s">
        <v>227</v>
      </c>
      <c r="D8" s="711">
        <f>+Schedule_M!F8</f>
        <v>0</v>
      </c>
      <c r="E8" s="715"/>
      <c r="F8" s="715"/>
      <c r="G8" s="715"/>
      <c r="H8" s="715"/>
      <c r="I8" s="715"/>
      <c r="J8" s="715"/>
      <c r="K8" s="1323">
        <f>ROUND(SUM(D8:J8),0)</f>
        <v>0</v>
      </c>
      <c r="L8" s="716"/>
      <c r="N8" s="709">
        <f>Schedule_B!D1</f>
        <v>0</v>
      </c>
      <c r="O8" s="698">
        <f>IF(MONTH($N$7)=1,IF(MONTH($N$8)&gt;1,ROUND(31*L8,0),(N8-N7+1)*L8),0)</f>
        <v>0</v>
      </c>
      <c r="P8" s="1243">
        <v>43466</v>
      </c>
      <c r="Q8" s="1243">
        <v>43496</v>
      </c>
      <c r="T8" s="1241"/>
      <c r="U8" s="1241"/>
      <c r="V8" s="1241"/>
      <c r="W8" s="1241"/>
      <c r="X8" s="1241"/>
      <c r="Y8" s="1241"/>
    </row>
    <row r="9" spans="2:25" ht="33.75" customHeight="1">
      <c r="B9" s="713">
        <v>2</v>
      </c>
      <c r="C9" s="714" t="s">
        <v>228</v>
      </c>
      <c r="D9" s="711">
        <f>+Schedule_M!F9</f>
        <v>0</v>
      </c>
      <c r="E9" s="715"/>
      <c r="F9" s="715"/>
      <c r="G9" s="715"/>
      <c r="H9" s="715"/>
      <c r="I9" s="715"/>
      <c r="J9" s="715"/>
      <c r="K9" s="1323">
        <f aca="true" t="shared" si="0" ref="K9:K19">ROUND(SUM(D9:J9),0)</f>
        <v>0</v>
      </c>
      <c r="L9" s="716"/>
      <c r="O9" s="698">
        <f>IF(AND(MONTH($N$7)=1,MONTH($N$8)&gt;2),ROUND(28*L9,0),IF(AND(MONTH($N$7)=2,MONTH($N$8)&gt;2),ROUND(((Q9-$N$7)+1)*L9,0),IF(AND(MONTH($N$7)=2,MONTH($N$8)=2),ROUND((($N$8-$N$7)+1)*L9,0),IF(MONTH($N$8)=2,ROUND((($N$8-P9)+1)*L9,0),0))))</f>
        <v>0</v>
      </c>
      <c r="P9" s="1243">
        <v>43497</v>
      </c>
      <c r="Q9" s="1244">
        <v>43524</v>
      </c>
      <c r="T9" s="1241"/>
      <c r="U9" s="1242"/>
      <c r="V9" s="1241"/>
      <c r="W9" s="1241"/>
      <c r="X9" s="1241"/>
      <c r="Y9" s="1241"/>
    </row>
    <row r="10" spans="2:25" ht="33.75" customHeight="1">
      <c r="B10" s="713">
        <v>3</v>
      </c>
      <c r="C10" s="714" t="s">
        <v>229</v>
      </c>
      <c r="D10" s="711">
        <f>+Schedule_M!F10</f>
        <v>0</v>
      </c>
      <c r="E10" s="715"/>
      <c r="F10" s="715"/>
      <c r="G10" s="715"/>
      <c r="H10" s="715"/>
      <c r="I10" s="715"/>
      <c r="J10" s="715"/>
      <c r="K10" s="1323">
        <f t="shared" si="0"/>
        <v>0</v>
      </c>
      <c r="L10" s="716"/>
      <c r="M10" s="698" t="s">
        <v>0</v>
      </c>
      <c r="O10" s="698">
        <f>IF(AND(MONTH($N$7)&lt;=2,MONTH($N$8)&gt;3),ROUND(31*L10,0),IF(AND(MONTH($N$7)=3,MONTH($N$8)&gt;3),ROUND(((Q10-$N$7)+1)*L10,0),IF(AND(MONTH($N$7)=3,MONTH($N$8)=3),ROUND((($N$8-$N$7)+1)*L10,0),IF(MONTH($N$8)=3,ROUND((($N$8-P10)+1)*L10,0),0))))</f>
        <v>0</v>
      </c>
      <c r="P10" s="1243">
        <v>43525</v>
      </c>
      <c r="Q10" s="1243">
        <v>43555</v>
      </c>
      <c r="T10" s="1241"/>
      <c r="U10" s="1241"/>
      <c r="V10" s="1241"/>
      <c r="W10" s="1241"/>
      <c r="X10" s="1241"/>
      <c r="Y10" s="1241"/>
    </row>
    <row r="11" spans="2:25" ht="33.75" customHeight="1">
      <c r="B11" s="713">
        <v>4</v>
      </c>
      <c r="C11" s="714" t="s">
        <v>230</v>
      </c>
      <c r="D11" s="711">
        <f>+Schedule_M!F11</f>
        <v>0</v>
      </c>
      <c r="E11" s="715"/>
      <c r="F11" s="715"/>
      <c r="G11" s="715"/>
      <c r="H11" s="715"/>
      <c r="I11" s="715"/>
      <c r="J11" s="715"/>
      <c r="K11" s="1323">
        <f t="shared" si="0"/>
        <v>0</v>
      </c>
      <c r="L11" s="716"/>
      <c r="O11" s="698">
        <f>IF(AND(MONTH($N$7)&lt;=3,MONTH($N$8)&gt;4),ROUND(30*L11,0),IF(AND(MONTH($N$7)=4,MONTH($N$8)&gt;4),ROUND(((Q11-$N$7)+1)*L11,0),IF(AND(MONTH($N$7)=4,MONTH($N$8)=4),ROUND((($N$8-$N$7)+1)*L11,0),IF(MONTH($N$8)=4,ROUND((($N$8-P11)+1)*L11,0),0))))</f>
        <v>0</v>
      </c>
      <c r="P11" s="1243">
        <v>43556</v>
      </c>
      <c r="Q11" s="1243">
        <v>43585</v>
      </c>
      <c r="T11" s="1241"/>
      <c r="U11" s="1242"/>
      <c r="V11" s="1241"/>
      <c r="W11" s="1241"/>
      <c r="X11" s="1241"/>
      <c r="Y11" s="1241"/>
    </row>
    <row r="12" spans="2:25" ht="33.75" customHeight="1">
      <c r="B12" s="713">
        <v>5</v>
      </c>
      <c r="C12" s="714" t="s">
        <v>231</v>
      </c>
      <c r="D12" s="711">
        <f>+Schedule_M!F12</f>
        <v>0</v>
      </c>
      <c r="E12" s="715"/>
      <c r="F12" s="715"/>
      <c r="G12" s="715"/>
      <c r="H12" s="715"/>
      <c r="I12" s="715"/>
      <c r="J12" s="715"/>
      <c r="K12" s="1323">
        <f t="shared" si="0"/>
        <v>0</v>
      </c>
      <c r="L12" s="716"/>
      <c r="M12" s="1269"/>
      <c r="O12" s="698">
        <f>IF(AND(MONTH($N$7)&lt;=4,MONTH($N$8)&gt;5),ROUND(31*L12,0),IF(AND(MONTH($N$7)=5,MONTH($N$8)&gt;5),ROUND(((Q12-$N$7)+1)*L12,0),IF(AND(MONTH($N$7)=5,MONTH($N$8)=5),ROUND((($N$8-$N$7)+1)*L12,0),IF(MONTH($N$8)=5,ROUND((($N$8-P12)+1)*L12,0),0))))</f>
        <v>0</v>
      </c>
      <c r="P12" s="1243">
        <v>43586</v>
      </c>
      <c r="Q12" s="1244">
        <v>43616</v>
      </c>
      <c r="T12" s="1241"/>
      <c r="U12" s="1241"/>
      <c r="V12" s="1241"/>
      <c r="W12" s="1241"/>
      <c r="X12" s="1241"/>
      <c r="Y12" s="1241"/>
    </row>
    <row r="13" spans="2:25" ht="33.75" customHeight="1">
      <c r="B13" s="713">
        <v>6</v>
      </c>
      <c r="C13" s="714" t="s">
        <v>232</v>
      </c>
      <c r="D13" s="711">
        <f>+Schedule_M!F13</f>
        <v>0</v>
      </c>
      <c r="E13" s="715"/>
      <c r="F13" s="715"/>
      <c r="G13" s="715"/>
      <c r="H13" s="715"/>
      <c r="I13" s="715"/>
      <c r="J13" s="715"/>
      <c r="K13" s="1323">
        <f t="shared" si="0"/>
        <v>0</v>
      </c>
      <c r="L13" s="716"/>
      <c r="O13" s="698">
        <f>IF(AND(MONTH($N$7)&lt;=5,MONTH($N$8)&gt;6),ROUND(30*L13,0),IF(AND(MONTH($N$7)=6,MONTH($N$8)&gt;6),ROUND(((Q13-$N$7)+1)*L13,0),IF(AND(MONTH($N$7)=6,MONTH($N$8)=6),ROUND((($N$8-$N$7)+1)*L13,0),IF(MONTH($N$8)=6,ROUND((($N$8-P13)+1)*L13,0),0))))</f>
        <v>0</v>
      </c>
      <c r="P13" s="1243">
        <v>43617</v>
      </c>
      <c r="Q13" s="1243">
        <v>43646</v>
      </c>
      <c r="T13" s="1241"/>
      <c r="U13" s="1241"/>
      <c r="V13" s="1241"/>
      <c r="W13" s="1241"/>
      <c r="X13" s="1241"/>
      <c r="Y13" s="1241"/>
    </row>
    <row r="14" spans="2:25" ht="33.75" customHeight="1">
      <c r="B14" s="713">
        <v>7</v>
      </c>
      <c r="C14" s="714" t="s">
        <v>233</v>
      </c>
      <c r="D14" s="711">
        <f>+Schedule_M!F14</f>
        <v>0</v>
      </c>
      <c r="E14" s="715"/>
      <c r="F14" s="715"/>
      <c r="G14" s="715"/>
      <c r="H14" s="715"/>
      <c r="I14" s="715"/>
      <c r="J14" s="715"/>
      <c r="K14" s="1323">
        <f t="shared" si="0"/>
        <v>0</v>
      </c>
      <c r="L14" s="716"/>
      <c r="M14" s="717"/>
      <c r="O14" s="698">
        <f>IF(AND(MONTH($N$7)&lt;=6,MONTH($N$8)&gt;7),ROUND(31*L14,0),IF(AND(MONTH($N$7)=7,MONTH($N$8)&gt;7),ROUND(((Q14-$N$7)+1)*L14,0),IF(AND(MONTH($N$7)=7,MONTH($N$8)=7),ROUND((($N$8-$N$7)+1)*L14,0),IF(MONTH($N$8)=7,ROUND((($N$8-P14)+1)*L14,0),0))))</f>
        <v>0</v>
      </c>
      <c r="P14" s="1243">
        <v>43647</v>
      </c>
      <c r="Q14" s="1243">
        <v>43677</v>
      </c>
      <c r="T14" s="1241"/>
      <c r="U14" s="1242"/>
      <c r="V14" s="1241"/>
      <c r="W14" s="1241"/>
      <c r="X14" s="1241"/>
      <c r="Y14" s="1241"/>
    </row>
    <row r="15" spans="2:25" ht="33.75" customHeight="1">
      <c r="B15" s="713">
        <v>8</v>
      </c>
      <c r="C15" s="714" t="s">
        <v>234</v>
      </c>
      <c r="D15" s="711">
        <f>+Schedule_M!F15</f>
        <v>0</v>
      </c>
      <c r="E15" s="715"/>
      <c r="F15" s="715"/>
      <c r="G15" s="715"/>
      <c r="H15" s="715"/>
      <c r="I15" s="715"/>
      <c r="J15" s="715"/>
      <c r="K15" s="1323">
        <f t="shared" si="0"/>
        <v>0</v>
      </c>
      <c r="L15" s="716"/>
      <c r="O15" s="698">
        <f>IF(AND(MONTH($N$7)&lt;=7,MONTH($N$8)&gt;8),ROUND(31*L15,0),IF(AND(MONTH($N$7)=8,MONTH($N$8)&gt;8),ROUND(((Q15-$N$7)+1)*L15,0),IF(AND(MONTH($N$7)=8,MONTH($N$8)=8),ROUND((($N$8-$N$7)+1)*L15,0),IF(MONTH($N$8)=8,ROUND((($N$8-P15)+1)*L15,0),0))))</f>
        <v>0</v>
      </c>
      <c r="P15" s="1243">
        <v>43678</v>
      </c>
      <c r="Q15" s="1244">
        <v>43708</v>
      </c>
      <c r="T15" s="1241"/>
      <c r="U15" s="1241"/>
      <c r="V15" s="1241"/>
      <c r="W15" s="1241"/>
      <c r="X15" s="1241"/>
      <c r="Y15" s="1241"/>
    </row>
    <row r="16" spans="2:25" ht="33.75" customHeight="1">
      <c r="B16" s="713">
        <v>9</v>
      </c>
      <c r="C16" s="714" t="s">
        <v>235</v>
      </c>
      <c r="D16" s="711">
        <f>+Schedule_M!F16</f>
        <v>0</v>
      </c>
      <c r="E16" s="715"/>
      <c r="F16" s="715"/>
      <c r="G16" s="715"/>
      <c r="H16" s="715"/>
      <c r="I16" s="715"/>
      <c r="J16" s="715"/>
      <c r="K16" s="1323">
        <f t="shared" si="0"/>
        <v>0</v>
      </c>
      <c r="L16" s="716"/>
      <c r="M16" s="718"/>
      <c r="O16" s="698">
        <f>IF(AND(MONTH($N$7)&lt;=8,MONTH($N$8)&gt;9),ROUND(30*L16,0),IF(AND(MONTH($N$7)=9,MONTH($N$8)&gt;9),ROUND(((Q16-$N$7)+1)*L16,0),IF(AND(MONTH($N$7)=9,MONTH($N$8)=9),ROUND((($N$8-$N$7)+1)*L16,0),IF(MONTH($N$8)=9,ROUND((($N$8-P16)+1)*L16,0),0))))</f>
        <v>0</v>
      </c>
      <c r="P16" s="1243">
        <v>43709</v>
      </c>
      <c r="Q16" s="1243">
        <v>43738</v>
      </c>
      <c r="T16" s="1241"/>
      <c r="U16" s="1242"/>
      <c r="V16" s="1241"/>
      <c r="W16" s="1241"/>
      <c r="X16" s="1241"/>
      <c r="Y16" s="1241"/>
    </row>
    <row r="17" spans="2:25" ht="33.75" customHeight="1">
      <c r="B17" s="713">
        <v>10</v>
      </c>
      <c r="C17" s="714" t="s">
        <v>236</v>
      </c>
      <c r="D17" s="711">
        <f>+Schedule_M!F17</f>
        <v>0</v>
      </c>
      <c r="E17" s="715"/>
      <c r="F17" s="715"/>
      <c r="G17" s="715"/>
      <c r="H17" s="715"/>
      <c r="I17" s="715"/>
      <c r="J17" s="715"/>
      <c r="K17" s="1323">
        <f t="shared" si="0"/>
        <v>0</v>
      </c>
      <c r="L17" s="716"/>
      <c r="M17" s="718"/>
      <c r="O17" s="698">
        <f>IF(AND(MONTH($N$7)&lt;=9,MONTH($N$8)&gt;10),ROUND(31*L17,0),IF(AND(MONTH($N$7)=10,MONTH($N$8)&gt;10),ROUND(((Q17-$N$7)+1)*L17,0),IF(AND(MONTH($N$7)=10,MONTH($N$8)=10),ROUND((($N$8-$N$7)+1)*L17,0),IF(MONTH($N$8)=10,ROUND((($N$8-P17)+1)*L17,0),0))))</f>
        <v>0</v>
      </c>
      <c r="P17" s="1243">
        <v>43739</v>
      </c>
      <c r="Q17" s="1243">
        <v>43769</v>
      </c>
      <c r="T17" s="1241"/>
      <c r="U17" s="1241"/>
      <c r="V17" s="1241"/>
      <c r="W17" s="1241"/>
      <c r="X17" s="1241"/>
      <c r="Y17" s="1241"/>
    </row>
    <row r="18" spans="2:25" ht="33.75" customHeight="1" thickBot="1">
      <c r="B18" s="713">
        <v>11</v>
      </c>
      <c r="C18" s="714" t="s">
        <v>237</v>
      </c>
      <c r="D18" s="711">
        <f>+Schedule_M!F18</f>
        <v>0</v>
      </c>
      <c r="E18" s="715"/>
      <c r="F18" s="715"/>
      <c r="G18" s="715"/>
      <c r="H18" s="715"/>
      <c r="I18" s="715"/>
      <c r="J18" s="715"/>
      <c r="K18" s="1323">
        <f t="shared" si="0"/>
        <v>0</v>
      </c>
      <c r="L18" s="716"/>
      <c r="N18" s="698" t="s">
        <v>1048</v>
      </c>
      <c r="O18" s="698">
        <f>IF(AND(MONTH($N$7)&lt;=10,MONTH($N$8)&gt;11),ROUND(30*L18,0),IF(AND(MONTH($N$7)=11,MONTH($N$8)&gt;11),ROUND(((Q18-$N$7)+1)*L18,0),IF(AND(MONTH($N$7)=11,MONTH($N$8)=11),ROUND((($N$8-$N$7)+1)*L18,0),IF(MONTH($N$8)=11,ROUND((($N$8-P18)+1)*L18,0),0))))</f>
        <v>0</v>
      </c>
      <c r="P18" s="1243">
        <v>43770</v>
      </c>
      <c r="Q18" s="1244">
        <v>43799</v>
      </c>
      <c r="T18" s="1241"/>
      <c r="U18" s="1241"/>
      <c r="V18" s="1241"/>
      <c r="W18" s="1241"/>
      <c r="X18" s="1241"/>
      <c r="Y18" s="1241"/>
    </row>
    <row r="19" spans="2:25" ht="33.75" customHeight="1" thickBot="1">
      <c r="B19" s="713">
        <v>12</v>
      </c>
      <c r="C19" s="714" t="s">
        <v>238</v>
      </c>
      <c r="D19" s="711">
        <f>+Schedule_M!F19</f>
        <v>0</v>
      </c>
      <c r="E19" s="715"/>
      <c r="F19" s="715"/>
      <c r="G19" s="715"/>
      <c r="H19" s="715"/>
      <c r="I19" s="715"/>
      <c r="J19" s="715"/>
      <c r="K19" s="1323">
        <f t="shared" si="0"/>
        <v>0</v>
      </c>
      <c r="L19" s="716"/>
      <c r="N19" s="1754">
        <f>IF(_C901553&lt;&gt;0,_C901553,IF(_C901552&lt;&gt;0,_C901552,IF(_C901551&lt;&gt;0,_C901551,IF(_C901550&lt;&gt;0,_C901550,0))))</f>
        <v>0</v>
      </c>
      <c r="O19" s="698">
        <f>IF(AND(MONTH($N$7)&lt;=11,MONTH($N$8)=12,DAY($N$8)=31),ROUND(31*L19,0),IF(AND(MONTH($N$7)=12,MONTH($N$8)=12),ROUND((($N$8-$N$7)+1)*L19,0),IF(MONTH($N$8)=12,ROUND((($N$8-P19)+1)*L19,0),0)))</f>
        <v>0</v>
      </c>
      <c r="P19" s="1243">
        <v>43800</v>
      </c>
      <c r="Q19" s="1243">
        <v>43830</v>
      </c>
      <c r="T19" s="1241"/>
      <c r="U19" s="1242"/>
      <c r="V19" s="1241"/>
      <c r="W19" s="1241"/>
      <c r="X19" s="1241"/>
      <c r="Y19" s="1241"/>
    </row>
    <row r="20" spans="2:15" ht="33.75" customHeight="1" thickBot="1">
      <c r="B20" s="719">
        <v>13</v>
      </c>
      <c r="C20" s="720" t="s">
        <v>186</v>
      </c>
      <c r="D20" s="721">
        <f aca="true" t="shared" si="1" ref="D20:K20">ROUND(SUM(D8:D19),0)</f>
        <v>0</v>
      </c>
      <c r="E20" s="721">
        <f t="shared" si="1"/>
        <v>0</v>
      </c>
      <c r="F20" s="721">
        <f t="shared" si="1"/>
        <v>0</v>
      </c>
      <c r="G20" s="721">
        <f t="shared" si="1"/>
        <v>0</v>
      </c>
      <c r="H20" s="721">
        <f t="shared" si="1"/>
        <v>0</v>
      </c>
      <c r="I20" s="721">
        <f t="shared" si="1"/>
        <v>0</v>
      </c>
      <c r="J20" s="721">
        <f t="shared" si="1"/>
        <v>0</v>
      </c>
      <c r="K20" s="1324">
        <f t="shared" si="1"/>
        <v>0</v>
      </c>
      <c r="L20" s="722"/>
      <c r="M20" s="718"/>
      <c r="N20" s="1755">
        <f>IF(_C901561&lt;&gt;0,_C901561,IF(_C901560&lt;&gt;0,_C901560,IF(_C901559&lt;&gt;0,_C901559,IF(_C901558&lt;&gt;0,_C901558,IF(_C901557&lt;&gt;0,_C901557,IF(_C901556&lt;&gt;0,_C901556,IF(_C901555&lt;&gt;0,_C901555,IF(_C901554&lt;&gt;0,_C901554,N19))))))))</f>
        <v>0</v>
      </c>
      <c r="O20" s="698">
        <f>SUM(O8:O19)</f>
        <v>0</v>
      </c>
    </row>
    <row r="21" spans="12:14" ht="33.75" customHeight="1" thickBot="1">
      <c r="L21" s="723"/>
      <c r="M21" s="723"/>
      <c r="N21" s="1756" t="str">
        <f>IF(_C000443&lt;&gt;N20,"Error","Correct")</f>
        <v>Correct</v>
      </c>
    </row>
    <row r="22" spans="2:15" ht="19.5" customHeight="1" thickBot="1">
      <c r="B22" s="724">
        <v>14</v>
      </c>
      <c r="C22" s="726" t="s">
        <v>658</v>
      </c>
      <c r="E22" s="727"/>
      <c r="F22" s="1740"/>
      <c r="H22" s="726"/>
      <c r="I22" s="726" t="s">
        <v>685</v>
      </c>
      <c r="J22" s="725"/>
      <c r="K22" s="727"/>
      <c r="L22" s="723"/>
      <c r="M22" s="723"/>
      <c r="O22" s="728">
        <f>SUM(K8:K19)</f>
        <v>0</v>
      </c>
    </row>
    <row r="23" spans="2:15" ht="15" customHeight="1" thickBot="1">
      <c r="B23" s="724"/>
      <c r="C23" s="1129" t="s">
        <v>696</v>
      </c>
      <c r="E23" s="995"/>
      <c r="F23" s="995"/>
      <c r="H23" s="724"/>
      <c r="I23" s="724"/>
      <c r="J23" s="726"/>
      <c r="L23" s="729"/>
      <c r="M23" s="729"/>
      <c r="N23" s="718"/>
      <c r="O23" s="730">
        <f>Q19</f>
        <v>43830</v>
      </c>
    </row>
    <row r="24" spans="2:13" ht="15.75">
      <c r="B24" s="724">
        <v>15</v>
      </c>
      <c r="C24" s="725" t="s">
        <v>11</v>
      </c>
      <c r="E24" s="732">
        <f>+O20</f>
        <v>0</v>
      </c>
      <c r="F24" s="1741"/>
      <c r="H24" s="726"/>
      <c r="I24" s="726" t="s">
        <v>686</v>
      </c>
      <c r="J24" s="725"/>
      <c r="K24" s="731">
        <f>+Schedule_M!E21</f>
        <v>0</v>
      </c>
      <c r="L24" s="723"/>
      <c r="M24" s="723"/>
    </row>
    <row r="25" spans="2:13" ht="15.75">
      <c r="B25" s="724"/>
      <c r="C25" s="729"/>
      <c r="H25" s="726"/>
      <c r="I25" s="726"/>
      <c r="J25" s="725"/>
      <c r="K25" s="932"/>
      <c r="L25" s="723"/>
      <c r="M25" s="723"/>
    </row>
    <row r="26" spans="2:12" ht="15.75">
      <c r="B26" s="724">
        <v>16</v>
      </c>
      <c r="C26" s="725" t="s">
        <v>12</v>
      </c>
      <c r="E26" s="733" t="str">
        <f>IF(E24=0,"0",ROUND((K20/E24),2))</f>
        <v>0</v>
      </c>
      <c r="F26" s="1742"/>
      <c r="H26" s="726"/>
      <c r="I26" s="726"/>
      <c r="J26" s="725"/>
      <c r="L26" s="723"/>
    </row>
    <row r="27" spans="3:14" ht="15.75" customHeight="1">
      <c r="C27" s="729" t="s">
        <v>657</v>
      </c>
      <c r="H27" s="726"/>
      <c r="I27" s="726" t="s">
        <v>664</v>
      </c>
      <c r="K27" s="727"/>
      <c r="L27" s="723"/>
      <c r="N27" s="718"/>
    </row>
    <row r="28" spans="8:9" ht="15.75">
      <c r="H28" s="726"/>
      <c r="I28" s="726"/>
    </row>
    <row r="29" spans="2:8" ht="15.75">
      <c r="B29" s="725" t="s">
        <v>1032</v>
      </c>
      <c r="H29" s="726"/>
    </row>
    <row r="30" spans="2:14" ht="15.75">
      <c r="B30" s="725" t="s">
        <v>766</v>
      </c>
      <c r="N30" s="718"/>
    </row>
    <row r="31" ht="15.75">
      <c r="B31" s="725" t="s">
        <v>770</v>
      </c>
    </row>
    <row r="32" spans="2:14" ht="16.5" thickBot="1">
      <c r="B32" s="725" t="s">
        <v>1045</v>
      </c>
      <c r="N32" s="1268"/>
    </row>
    <row r="33" spans="3:14" ht="15.75">
      <c r="C33" s="930">
        <f>+Schedule_A!C39</f>
        <v>0</v>
      </c>
      <c r="D33" s="931">
        <f>Schedule_B!D1</f>
        <v>0</v>
      </c>
      <c r="E33" s="734"/>
      <c r="F33" s="1743"/>
      <c r="N33" s="718"/>
    </row>
    <row r="34" spans="3:6" ht="16.5" thickBot="1">
      <c r="C34" s="735">
        <f>VALUE(C33)</f>
        <v>0</v>
      </c>
      <c r="D34" s="736">
        <f>VALUE(D33)</f>
        <v>0</v>
      </c>
      <c r="E34" s="737">
        <f>D34-C34+1</f>
        <v>1</v>
      </c>
      <c r="F34" s="1743"/>
    </row>
    <row r="36" ht="15.75">
      <c r="N36" s="718"/>
    </row>
    <row r="37" ht="15.75">
      <c r="M37" s="718"/>
    </row>
  </sheetData>
  <sheetProtection password="EE7C" sheet="1"/>
  <mergeCells count="3">
    <mergeCell ref="P7:Q7"/>
    <mergeCell ref="N1:N4"/>
    <mergeCell ref="A4:L4"/>
  </mergeCells>
  <printOptions/>
  <pageMargins left="0.3" right="0.22" top="0.46" bottom="0.46" header="0.18" footer="0.21"/>
  <pageSetup fitToHeight="1" fitToWidth="1" horizontalDpi="600" verticalDpi="600" orientation="portrait" scale="60" r:id="rId1"/>
  <headerFooter scaleWithDoc="0" alignWithMargins="0">
    <oddFooter>&amp;LDSHS 23-003 &amp;C28&amp;RSchedule 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E115"/>
  <sheetViews>
    <sheetView zoomScale="80" zoomScaleNormal="80" workbookViewId="0" topLeftCell="A1">
      <selection activeCell="F81" sqref="F81"/>
    </sheetView>
  </sheetViews>
  <sheetFormatPr defaultColWidth="9.140625" defaultRowHeight="12.75"/>
  <cols>
    <col min="1" max="1" width="3.8515625" style="738" customWidth="1"/>
    <col min="2" max="2" width="6.421875" style="738" customWidth="1"/>
    <col min="3" max="3" width="71.28125" style="738" customWidth="1"/>
    <col min="4" max="4" width="19.7109375" style="738" customWidth="1"/>
    <col min="5" max="5" width="26.57421875" style="738" customWidth="1"/>
    <col min="6" max="7" width="20.28125" style="738" customWidth="1"/>
    <col min="8" max="8" width="30.57421875" style="738" customWidth="1"/>
    <col min="9" max="9" width="24.28125" style="738" customWidth="1"/>
    <col min="10" max="10" width="25.00390625" style="738" customWidth="1"/>
    <col min="11" max="11" width="17.00390625" style="738" customWidth="1"/>
    <col min="12" max="12" width="17.140625" style="738" customWidth="1"/>
    <col min="13" max="13" width="14.8515625" style="738" customWidth="1"/>
    <col min="14" max="14" width="14.421875" style="738" customWidth="1"/>
    <col min="15" max="16384" width="9.140625" style="738" customWidth="1"/>
  </cols>
  <sheetData>
    <row r="1" spans="1:15" ht="19.5" customHeight="1">
      <c r="A1" s="744"/>
      <c r="B1" s="789"/>
      <c r="C1" s="739" t="s">
        <v>15</v>
      </c>
      <c r="D1" s="928">
        <f>Schedule_A!C59</f>
        <v>0</v>
      </c>
      <c r="G1" s="741"/>
      <c r="H1" s="741"/>
      <c r="I1" s="742"/>
      <c r="J1" s="776"/>
      <c r="K1" s="742"/>
      <c r="L1" s="913"/>
      <c r="N1" s="745"/>
      <c r="O1" s="1508"/>
    </row>
    <row r="2" spans="1:15" ht="36" customHeight="1">
      <c r="A2" s="744"/>
      <c r="B2" s="789"/>
      <c r="C2" s="739" t="s">
        <v>16</v>
      </c>
      <c r="D2" s="740">
        <f>+Schedule_A!$I$8</f>
        <v>0</v>
      </c>
      <c r="E2" s="1345" t="str">
        <f>Schedule_A!A3</f>
        <v>NURSING FACILITY 2019 COST REPORT</v>
      </c>
      <c r="G2" s="741"/>
      <c r="H2" s="741"/>
      <c r="K2" s="742"/>
      <c r="L2" s="767"/>
      <c r="N2" s="745"/>
      <c r="O2" s="1508"/>
    </row>
    <row r="3" spans="1:15" ht="19.5" customHeight="1">
      <c r="A3" s="744"/>
      <c r="B3" s="789"/>
      <c r="C3" s="739"/>
      <c r="D3" s="741"/>
      <c r="G3" s="741"/>
      <c r="H3" s="741"/>
      <c r="K3" s="742"/>
      <c r="L3" s="767"/>
      <c r="N3" s="745"/>
      <c r="O3" s="1508"/>
    </row>
    <row r="4" spans="1:15" ht="19.5" customHeight="1">
      <c r="A4" s="1890" t="s">
        <v>771</v>
      </c>
      <c r="B4" s="1890"/>
      <c r="C4" s="1890"/>
      <c r="D4" s="1890"/>
      <c r="E4" s="1890"/>
      <c r="F4" s="1890"/>
      <c r="G4" s="1890"/>
      <c r="H4" s="1890"/>
      <c r="I4" s="1890"/>
      <c r="J4" s="1890"/>
      <c r="K4" s="1890"/>
      <c r="L4" s="1890"/>
      <c r="M4" s="1890"/>
      <c r="N4" s="1890"/>
      <c r="O4" s="1508"/>
    </row>
    <row r="5" spans="1:15" ht="19.5" customHeight="1" thickBot="1">
      <c r="A5" s="1318"/>
      <c r="B5" s="789"/>
      <c r="C5" s="788"/>
      <c r="D5" s="1270"/>
      <c r="E5" s="1270"/>
      <c r="F5" s="1270"/>
      <c r="G5" s="1270"/>
      <c r="H5" s="1270"/>
      <c r="I5" s="1270"/>
      <c r="J5" s="1270"/>
      <c r="K5" s="1270"/>
      <c r="L5" s="745"/>
      <c r="M5" s="745"/>
      <c r="N5" s="745"/>
      <c r="O5" s="1508"/>
    </row>
    <row r="6" spans="1:23" ht="16.5" customHeight="1" thickBot="1">
      <c r="A6" s="744"/>
      <c r="B6" s="746" t="s">
        <v>608</v>
      </c>
      <c r="C6" s="745"/>
      <c r="D6" s="745"/>
      <c r="E6" s="745"/>
      <c r="F6" s="745"/>
      <c r="G6" s="745"/>
      <c r="H6" s="745"/>
      <c r="I6" s="745"/>
      <c r="J6" s="745"/>
      <c r="K6" s="745"/>
      <c r="L6" s="745"/>
      <c r="M6" s="745"/>
      <c r="N6" s="745"/>
      <c r="O6" s="1508"/>
      <c r="V6" s="747" t="s">
        <v>223</v>
      </c>
      <c r="W6" s="748" t="s">
        <v>17</v>
      </c>
    </row>
    <row r="7" spans="1:31" ht="30.75" customHeight="1" thickBot="1">
      <c r="A7" s="744"/>
      <c r="B7" s="749" t="s">
        <v>18</v>
      </c>
      <c r="C7" s="750" t="s">
        <v>19</v>
      </c>
      <c r="D7" s="751" t="s">
        <v>20</v>
      </c>
      <c r="E7" s="751" t="s">
        <v>21</v>
      </c>
      <c r="F7" s="752" t="s">
        <v>22</v>
      </c>
      <c r="G7" s="745"/>
      <c r="H7" s="745"/>
      <c r="I7" s="745"/>
      <c r="J7" s="745"/>
      <c r="K7" s="745"/>
      <c r="L7" s="745"/>
      <c r="M7" s="745"/>
      <c r="N7" s="745"/>
      <c r="O7" s="1508"/>
      <c r="V7" s="753">
        <v>1</v>
      </c>
      <c r="W7" s="754">
        <f>Schedule_M!F8</f>
        <v>0</v>
      </c>
      <c r="X7" s="738">
        <f aca="true" t="shared" si="0" ref="X7:AE7">D15</f>
        <v>0</v>
      </c>
      <c r="Y7" s="738">
        <f t="shared" si="0"/>
        <v>0</v>
      </c>
      <c r="Z7" s="738">
        <f t="shared" si="0"/>
        <v>0</v>
      </c>
      <c r="AA7" s="738">
        <f t="shared" si="0"/>
        <v>0</v>
      </c>
      <c r="AB7" s="738">
        <f t="shared" si="0"/>
        <v>0</v>
      </c>
      <c r="AC7" s="738">
        <f t="shared" si="0"/>
        <v>0</v>
      </c>
      <c r="AD7" s="738">
        <f t="shared" si="0"/>
        <v>0</v>
      </c>
      <c r="AE7" s="738">
        <f t="shared" si="0"/>
        <v>0</v>
      </c>
    </row>
    <row r="8" spans="1:31" ht="19.5" customHeight="1" thickBot="1">
      <c r="A8" s="744"/>
      <c r="B8" s="755"/>
      <c r="C8" s="756"/>
      <c r="D8" s="757" t="s">
        <v>473</v>
      </c>
      <c r="E8" s="757" t="s">
        <v>474</v>
      </c>
      <c r="F8" s="757" t="s">
        <v>475</v>
      </c>
      <c r="G8" s="745"/>
      <c r="H8" s="745"/>
      <c r="I8" s="745"/>
      <c r="J8" s="745"/>
      <c r="K8" s="745"/>
      <c r="L8" s="745"/>
      <c r="M8" s="745"/>
      <c r="N8" s="745"/>
      <c r="V8" s="753">
        <v>2</v>
      </c>
      <c r="W8" s="754">
        <f>Schedule_M!F9</f>
        <v>0</v>
      </c>
      <c r="X8" s="738">
        <f>MONTH(X7)</f>
        <v>1</v>
      </c>
      <c r="Y8" s="738">
        <f>MONTH(Y7)</f>
        <v>1</v>
      </c>
      <c r="Z8" s="738">
        <f>MONTH(Z7)</f>
        <v>1</v>
      </c>
      <c r="AA8" s="738">
        <f>IF(AA7=0,0,MONTH(AA7))</f>
        <v>0</v>
      </c>
      <c r="AB8" s="738">
        <f>IF(AB7=0,0,MONTH(AB7))</f>
        <v>0</v>
      </c>
      <c r="AC8" s="738">
        <f>IF(AC7=0,0,MONTH(AC7))</f>
        <v>0</v>
      </c>
      <c r="AD8" s="738">
        <f>IF(AD7=0,0,MONTH(AD7))</f>
        <v>0</v>
      </c>
      <c r="AE8" s="738">
        <f>IF(AE7=0,0,MONTH(AE7))</f>
        <v>0</v>
      </c>
    </row>
    <row r="9" spans="1:31" ht="19.5" customHeight="1" thickBot="1">
      <c r="A9" s="744"/>
      <c r="B9" s="758">
        <v>1</v>
      </c>
      <c r="C9" s="759" t="s">
        <v>14</v>
      </c>
      <c r="D9" s="760">
        <f>_C009999</f>
        <v>0</v>
      </c>
      <c r="E9" s="936">
        <f>_C773078</f>
        <v>0</v>
      </c>
      <c r="F9" s="761">
        <f>ROUND(IF(D9=0,0,+D9/E9),4)</f>
        <v>0</v>
      </c>
      <c r="G9" s="745"/>
      <c r="H9" s="745"/>
      <c r="I9" s="745"/>
      <c r="J9" s="745"/>
      <c r="K9" s="745"/>
      <c r="L9" s="745"/>
      <c r="M9" s="745"/>
      <c r="N9" s="745"/>
      <c r="V9" s="753">
        <v>3</v>
      </c>
      <c r="W9" s="754">
        <f>Schedule_M!F10</f>
        <v>0</v>
      </c>
      <c r="X9" s="738">
        <f>IF(Y7=0,W19,DSUM($V$6:$W$18,2,X10:X22))</f>
        <v>0</v>
      </c>
      <c r="Y9" s="738">
        <f>IF(X9=$W19,0,DSUM($V$6:$W$18,2,Y10:Y22)-X9)</f>
        <v>0</v>
      </c>
      <c r="Z9" s="738">
        <f>IF($X9+$Y9=$W19,0,DSUM($V$6:$W$18,2,Z10:Z22)-X9-Y9)</f>
        <v>0</v>
      </c>
      <c r="AA9" s="738">
        <f>IF(X9+Y9+Z9=W19,0,DSUM($V$6:$W$18,2,AA10:AA22)-X9-Y9-Z9)</f>
        <v>0</v>
      </c>
      <c r="AB9" s="738">
        <f>IF($X9+$Y9+$Z9+$AA9=$W19,0,DSUM($V$6:$W$18,2,AB10:AB22)-$X9-$Y9-$Z9-$AA9)</f>
        <v>0</v>
      </c>
      <c r="AC9" s="738">
        <f>IF($X9+$Y9+$Z9+$AA9+$AB9=$W19,0,DSUM($V$6:$W$18,2,AC10:AC22)-$X9-$Y9-$Z9-$AA9-AB9)</f>
        <v>0</v>
      </c>
      <c r="AD9" s="738">
        <f>IF($X9+$Y9+$Z9+$AA9+AB9+AC9=$W19,0,DSUM($V$6:$W$18,2,AD10:AD22)-$X9-$Y9-$Z9-$AA9-AB9-AC9)</f>
        <v>0</v>
      </c>
      <c r="AE9" s="738">
        <f>IF($X9+$Y9+$Z9+$AA9+AB9+AC9+AD9=$W19,0,DSUM($V$6:$W$18,2,AE10:AE22)-$X9-$Y9-$Z9-$AA9-AB9-AC9-AD9)</f>
        <v>0</v>
      </c>
    </row>
    <row r="10" spans="1:31" ht="19.5" customHeight="1" thickBot="1">
      <c r="A10" s="744"/>
      <c r="B10" s="762">
        <v>2</v>
      </c>
      <c r="C10" s="759" t="s">
        <v>723</v>
      </c>
      <c r="D10" s="760">
        <f>_C009902</f>
        <v>0</v>
      </c>
      <c r="E10" s="936">
        <f>$E$9</f>
        <v>0</v>
      </c>
      <c r="F10" s="761">
        <f>ROUND(IF(D10=0,0,+D10/E10),4)</f>
        <v>0</v>
      </c>
      <c r="G10" s="745"/>
      <c r="H10" s="745"/>
      <c r="I10" s="745"/>
      <c r="J10" s="745"/>
      <c r="K10" s="745"/>
      <c r="L10" s="745"/>
      <c r="M10" s="745"/>
      <c r="N10" s="745"/>
      <c r="V10" s="753">
        <v>4</v>
      </c>
      <c r="W10" s="754">
        <f>Schedule_M!F11</f>
        <v>0</v>
      </c>
      <c r="X10" s="738" t="s">
        <v>223</v>
      </c>
      <c r="Y10" s="738" t="s">
        <v>223</v>
      </c>
      <c r="Z10" s="738" t="s">
        <v>223</v>
      </c>
      <c r="AA10" s="738" t="s">
        <v>223</v>
      </c>
      <c r="AB10" s="738" t="s">
        <v>223</v>
      </c>
      <c r="AC10" s="738" t="s">
        <v>223</v>
      </c>
      <c r="AD10" s="738" t="s">
        <v>223</v>
      </c>
      <c r="AE10" s="738" t="s">
        <v>223</v>
      </c>
    </row>
    <row r="11" spans="1:31" ht="19.5" customHeight="1" thickBot="1">
      <c r="A11" s="744"/>
      <c r="B11" s="762">
        <v>3</v>
      </c>
      <c r="C11" s="763" t="s">
        <v>186</v>
      </c>
      <c r="D11" s="764">
        <f>SUM(D9:D10)</f>
        <v>0</v>
      </c>
      <c r="E11" s="937">
        <f>$E$9</f>
        <v>0</v>
      </c>
      <c r="F11" s="765">
        <f>SUM(F9:F10)</f>
        <v>0</v>
      </c>
      <c r="G11" s="745"/>
      <c r="H11" s="745"/>
      <c r="I11" s="745"/>
      <c r="J11" s="745"/>
      <c r="K11" s="745"/>
      <c r="L11" s="745"/>
      <c r="M11" s="745"/>
      <c r="N11" s="745"/>
      <c r="V11" s="753">
        <v>5</v>
      </c>
      <c r="W11" s="754">
        <f>Schedule_M!F12</f>
        <v>0</v>
      </c>
      <c r="X11" s="738">
        <f aca="true" t="shared" si="1" ref="X11:AB19">IF(X$7=0,0,IF(Y$7=0,$V7,IF(OR(X$8&gt;=$V7,Y$8&gt;$V7),$V7,0)))</f>
        <v>0</v>
      </c>
      <c r="Y11" s="738">
        <f t="shared" si="1"/>
        <v>0</v>
      </c>
      <c r="Z11" s="738">
        <f t="shared" si="1"/>
        <v>0</v>
      </c>
      <c r="AA11" s="738">
        <f t="shared" si="1"/>
        <v>0</v>
      </c>
      <c r="AB11" s="738">
        <f t="shared" si="1"/>
        <v>0</v>
      </c>
      <c r="AC11" s="738">
        <f aca="true" t="shared" si="2" ref="AC11:AC19">IF(AC$7=0,0,IF(AD$7=0,$V7,IF(OR(AC$8&gt;=$V7,AD$8&gt;$V7),$V7,0)))</f>
        <v>0</v>
      </c>
      <c r="AD11" s="738">
        <f aca="true" t="shared" si="3" ref="AD11:AE19">IF(AD$7=0,0,IF(AE$7=0,$V7,IF(OR(AD$8&gt;=$V7,AE$8&gt;$V7),$V7,0)))</f>
        <v>0</v>
      </c>
      <c r="AE11" s="738">
        <f t="shared" si="3"/>
        <v>0</v>
      </c>
    </row>
    <row r="12" spans="1:31" ht="19.5" customHeight="1" thickBot="1">
      <c r="A12" s="744"/>
      <c r="B12" s="741" t="s">
        <v>609</v>
      </c>
      <c r="C12" s="766"/>
      <c r="D12" s="767"/>
      <c r="E12" s="767"/>
      <c r="F12" s="767"/>
      <c r="G12" s="745"/>
      <c r="H12" s="745"/>
      <c r="I12" s="745"/>
      <c r="J12" s="745"/>
      <c r="K12" s="745"/>
      <c r="L12" s="745"/>
      <c r="M12" s="745"/>
      <c r="N12" s="745"/>
      <c r="V12" s="753">
        <v>6</v>
      </c>
      <c r="W12" s="754">
        <f>Schedule_M!F13</f>
        <v>0</v>
      </c>
      <c r="X12" s="738">
        <f t="shared" si="1"/>
        <v>0</v>
      </c>
      <c r="Y12" s="738">
        <f t="shared" si="1"/>
        <v>0</v>
      </c>
      <c r="Z12" s="738">
        <f t="shared" si="1"/>
        <v>0</v>
      </c>
      <c r="AA12" s="738">
        <f t="shared" si="1"/>
        <v>0</v>
      </c>
      <c r="AB12" s="738">
        <f t="shared" si="1"/>
        <v>0</v>
      </c>
      <c r="AC12" s="738">
        <f t="shared" si="2"/>
        <v>0</v>
      </c>
      <c r="AD12" s="738">
        <f t="shared" si="3"/>
        <v>0</v>
      </c>
      <c r="AE12" s="738">
        <f t="shared" si="3"/>
        <v>0</v>
      </c>
    </row>
    <row r="13" spans="1:31" ht="19.5" customHeight="1" thickBot="1">
      <c r="A13" s="744"/>
      <c r="B13" s="1283" t="s">
        <v>539</v>
      </c>
      <c r="C13" s="1284" t="s">
        <v>23</v>
      </c>
      <c r="D13" s="1285" t="s">
        <v>24</v>
      </c>
      <c r="E13" s="1285" t="s">
        <v>25</v>
      </c>
      <c r="F13" s="1286" t="s">
        <v>26</v>
      </c>
      <c r="G13" s="1287" t="s">
        <v>27</v>
      </c>
      <c r="H13" s="1288" t="s">
        <v>28</v>
      </c>
      <c r="I13" s="1288" t="s">
        <v>29</v>
      </c>
      <c r="J13" s="1288" t="s">
        <v>30</v>
      </c>
      <c r="K13" s="1288" t="s">
        <v>31</v>
      </c>
      <c r="L13" s="769"/>
      <c r="M13" s="745"/>
      <c r="N13" s="770"/>
      <c r="V13" s="753">
        <v>7</v>
      </c>
      <c r="W13" s="754">
        <f>Schedule_M!F14</f>
        <v>0</v>
      </c>
      <c r="X13" s="738">
        <f t="shared" si="1"/>
        <v>0</v>
      </c>
      <c r="Y13" s="738">
        <f t="shared" si="1"/>
        <v>0</v>
      </c>
      <c r="Z13" s="738">
        <f t="shared" si="1"/>
        <v>0</v>
      </c>
      <c r="AA13" s="738">
        <f t="shared" si="1"/>
        <v>0</v>
      </c>
      <c r="AB13" s="738">
        <f t="shared" si="1"/>
        <v>0</v>
      </c>
      <c r="AC13" s="738">
        <f t="shared" si="2"/>
        <v>0</v>
      </c>
      <c r="AD13" s="738">
        <f t="shared" si="3"/>
        <v>0</v>
      </c>
      <c r="AE13" s="738">
        <f t="shared" si="3"/>
        <v>0</v>
      </c>
    </row>
    <row r="14" spans="1:31" ht="19.5" customHeight="1" thickBot="1">
      <c r="A14" s="744"/>
      <c r="B14" s="1289" t="s">
        <v>543</v>
      </c>
      <c r="C14" s="1290"/>
      <c r="D14" s="1291" t="s">
        <v>473</v>
      </c>
      <c r="E14" s="1291" t="s">
        <v>474</v>
      </c>
      <c r="F14" s="1291" t="s">
        <v>475</v>
      </c>
      <c r="G14" s="1291" t="s">
        <v>476</v>
      </c>
      <c r="H14" s="1291" t="s">
        <v>477</v>
      </c>
      <c r="I14" s="1292" t="s">
        <v>478</v>
      </c>
      <c r="J14" s="1292" t="s">
        <v>479</v>
      </c>
      <c r="K14" s="1292" t="s">
        <v>182</v>
      </c>
      <c r="L14" s="769"/>
      <c r="M14" s="745"/>
      <c r="N14" s="745"/>
      <c r="V14" s="753">
        <v>8</v>
      </c>
      <c r="W14" s="754">
        <f>Schedule_M!F15</f>
        <v>0</v>
      </c>
      <c r="X14" s="738">
        <f t="shared" si="1"/>
        <v>0</v>
      </c>
      <c r="Y14" s="738">
        <f t="shared" si="1"/>
        <v>0</v>
      </c>
      <c r="Z14" s="738">
        <f t="shared" si="1"/>
        <v>0</v>
      </c>
      <c r="AA14" s="738">
        <f t="shared" si="1"/>
        <v>0</v>
      </c>
      <c r="AB14" s="738">
        <f t="shared" si="1"/>
        <v>0</v>
      </c>
      <c r="AC14" s="738">
        <f t="shared" si="2"/>
        <v>0</v>
      </c>
      <c r="AD14" s="738">
        <f t="shared" si="3"/>
        <v>0</v>
      </c>
      <c r="AE14" s="738">
        <f t="shared" si="3"/>
        <v>0</v>
      </c>
    </row>
    <row r="15" spans="1:31" ht="15.75" customHeight="1" thickBot="1">
      <c r="A15" s="744"/>
      <c r="B15" s="1293">
        <v>4</v>
      </c>
      <c r="C15" s="1294" t="s">
        <v>32</v>
      </c>
      <c r="D15" s="1325"/>
      <c r="E15" s="1325"/>
      <c r="F15" s="1325"/>
      <c r="G15" s="1325"/>
      <c r="H15" s="1325"/>
      <c r="I15" s="1325"/>
      <c r="J15" s="1325"/>
      <c r="K15" s="1325"/>
      <c r="L15" s="769"/>
      <c r="M15" s="745"/>
      <c r="N15" s="745"/>
      <c r="V15" s="753">
        <v>9</v>
      </c>
      <c r="W15" s="754">
        <f>Schedule_M!F16</f>
        <v>0</v>
      </c>
      <c r="X15" s="738">
        <f t="shared" si="1"/>
        <v>0</v>
      </c>
      <c r="Y15" s="738">
        <f t="shared" si="1"/>
        <v>0</v>
      </c>
      <c r="Z15" s="738">
        <f t="shared" si="1"/>
        <v>0</v>
      </c>
      <c r="AA15" s="738">
        <f t="shared" si="1"/>
        <v>0</v>
      </c>
      <c r="AB15" s="738">
        <f t="shared" si="1"/>
        <v>0</v>
      </c>
      <c r="AC15" s="738">
        <f t="shared" si="2"/>
        <v>0</v>
      </c>
      <c r="AD15" s="738">
        <f t="shared" si="3"/>
        <v>0</v>
      </c>
      <c r="AE15" s="738">
        <f t="shared" si="3"/>
        <v>0</v>
      </c>
    </row>
    <row r="16" spans="1:31" ht="19.5" customHeight="1" thickBot="1">
      <c r="A16" s="1393"/>
      <c r="B16" s="1394">
        <v>5</v>
      </c>
      <c r="C16" s="1401" t="s">
        <v>14</v>
      </c>
      <c r="D16" s="1391"/>
      <c r="E16" s="1391"/>
      <c r="F16" s="1391"/>
      <c r="G16" s="1391"/>
      <c r="H16" s="1391"/>
      <c r="I16" s="1391"/>
      <c r="J16" s="1391"/>
      <c r="K16" s="1391"/>
      <c r="L16" s="1402"/>
      <c r="M16" s="1403"/>
      <c r="N16" s="1403"/>
      <c r="O16" s="1400"/>
      <c r="P16" s="1400"/>
      <c r="Q16" s="1400"/>
      <c r="R16" s="1400"/>
      <c r="S16" s="1400"/>
      <c r="T16" s="1400"/>
      <c r="U16" s="1400"/>
      <c r="V16" s="753">
        <v>10</v>
      </c>
      <c r="W16" s="754">
        <f>Schedule_M!F17</f>
        <v>0</v>
      </c>
      <c r="X16" s="738">
        <f t="shared" si="1"/>
        <v>0</v>
      </c>
      <c r="Y16" s="738">
        <f t="shared" si="1"/>
        <v>0</v>
      </c>
      <c r="Z16" s="738">
        <f t="shared" si="1"/>
        <v>0</v>
      </c>
      <c r="AA16" s="738">
        <f t="shared" si="1"/>
        <v>0</v>
      </c>
      <c r="AB16" s="738">
        <f t="shared" si="1"/>
        <v>0</v>
      </c>
      <c r="AC16" s="738">
        <f t="shared" si="2"/>
        <v>0</v>
      </c>
      <c r="AD16" s="738">
        <f t="shared" si="3"/>
        <v>0</v>
      </c>
      <c r="AE16" s="738">
        <f t="shared" si="3"/>
        <v>0</v>
      </c>
    </row>
    <row r="17" spans="1:31" ht="19.5" customHeight="1" thickBot="1">
      <c r="A17" s="1393"/>
      <c r="B17" s="1293">
        <v>6</v>
      </c>
      <c r="C17" s="1401" t="s">
        <v>723</v>
      </c>
      <c r="D17" s="1391"/>
      <c r="E17" s="1391"/>
      <c r="F17" s="1391"/>
      <c r="G17" s="1391"/>
      <c r="H17" s="1391"/>
      <c r="I17" s="1391"/>
      <c r="J17" s="1391"/>
      <c r="K17" s="1391"/>
      <c r="L17" s="1403"/>
      <c r="M17" s="1403"/>
      <c r="N17" s="1403"/>
      <c r="O17" s="1400"/>
      <c r="P17" s="1400"/>
      <c r="Q17" s="1400"/>
      <c r="R17" s="1400"/>
      <c r="S17" s="1400"/>
      <c r="T17" s="1400"/>
      <c r="U17" s="1400"/>
      <c r="V17" s="753">
        <v>11</v>
      </c>
      <c r="W17" s="754">
        <f>Schedule_M!F18</f>
        <v>0</v>
      </c>
      <c r="X17" s="738">
        <f t="shared" si="1"/>
        <v>0</v>
      </c>
      <c r="Y17" s="738">
        <f t="shared" si="1"/>
        <v>0</v>
      </c>
      <c r="Z17" s="738">
        <f t="shared" si="1"/>
        <v>0</v>
      </c>
      <c r="AA17" s="738">
        <f t="shared" si="1"/>
        <v>0</v>
      </c>
      <c r="AB17" s="738">
        <f t="shared" si="1"/>
        <v>0</v>
      </c>
      <c r="AC17" s="738">
        <f t="shared" si="2"/>
        <v>0</v>
      </c>
      <c r="AD17" s="738">
        <f t="shared" si="3"/>
        <v>0</v>
      </c>
      <c r="AE17" s="738">
        <f t="shared" si="3"/>
        <v>0</v>
      </c>
    </row>
    <row r="18" spans="1:31" s="1400" customFormat="1" ht="19.5" customHeight="1" thickBot="1">
      <c r="A18" s="1393"/>
      <c r="B18" s="1394">
        <v>7</v>
      </c>
      <c r="C18" s="1401" t="s">
        <v>724</v>
      </c>
      <c r="D18" s="1391"/>
      <c r="E18" s="1391"/>
      <c r="F18" s="1391"/>
      <c r="G18" s="1391"/>
      <c r="H18" s="1391"/>
      <c r="I18" s="1391"/>
      <c r="J18" s="1391"/>
      <c r="K18" s="1391"/>
      <c r="L18" s="1403"/>
      <c r="M18" s="1403"/>
      <c r="N18" s="1403"/>
      <c r="V18" s="1404">
        <v>12</v>
      </c>
      <c r="W18" s="1405">
        <f>Schedule_M!F19</f>
        <v>0</v>
      </c>
      <c r="X18" s="1400">
        <f t="shared" si="1"/>
        <v>0</v>
      </c>
      <c r="Y18" s="1400">
        <f t="shared" si="1"/>
        <v>0</v>
      </c>
      <c r="Z18" s="1400">
        <f t="shared" si="1"/>
        <v>0</v>
      </c>
      <c r="AA18" s="1400">
        <f t="shared" si="1"/>
        <v>0</v>
      </c>
      <c r="AB18" s="1400">
        <f t="shared" si="1"/>
        <v>0</v>
      </c>
      <c r="AC18" s="1400">
        <f t="shared" si="2"/>
        <v>0</v>
      </c>
      <c r="AD18" s="1400">
        <f t="shared" si="3"/>
        <v>0</v>
      </c>
      <c r="AE18" s="1400">
        <f t="shared" si="3"/>
        <v>0</v>
      </c>
    </row>
    <row r="19" spans="1:31" s="1400" customFormat="1" ht="19.5" customHeight="1" thickBot="1">
      <c r="A19" s="1393"/>
      <c r="B19" s="1293">
        <v>8</v>
      </c>
      <c r="C19" s="1295" t="s">
        <v>643</v>
      </c>
      <c r="D19" s="1326"/>
      <c r="E19" s="1326"/>
      <c r="F19" s="1326"/>
      <c r="G19" s="1326"/>
      <c r="H19" s="1326"/>
      <c r="I19" s="1326"/>
      <c r="J19" s="1326"/>
      <c r="K19" s="1326"/>
      <c r="L19" s="808"/>
      <c r="M19" s="808"/>
      <c r="N19" s="795"/>
      <c r="O19" s="767"/>
      <c r="P19" s="738"/>
      <c r="Q19" s="738"/>
      <c r="R19" s="738"/>
      <c r="S19" s="738"/>
      <c r="T19" s="738"/>
      <c r="U19" s="738"/>
      <c r="V19" s="1406" t="s">
        <v>186</v>
      </c>
      <c r="W19" s="1407">
        <f>SUM(W7:W18)</f>
        <v>0</v>
      </c>
      <c r="X19" s="1400">
        <f t="shared" si="1"/>
        <v>0</v>
      </c>
      <c r="Y19" s="1400">
        <f t="shared" si="1"/>
        <v>0</v>
      </c>
      <c r="Z19" s="1400">
        <f t="shared" si="1"/>
        <v>0</v>
      </c>
      <c r="AA19" s="1400">
        <f t="shared" si="1"/>
        <v>0</v>
      </c>
      <c r="AB19" s="1400">
        <f t="shared" si="1"/>
        <v>0</v>
      </c>
      <c r="AC19" s="1400">
        <f t="shared" si="2"/>
        <v>0</v>
      </c>
      <c r="AD19" s="1400">
        <f t="shared" si="3"/>
        <v>0</v>
      </c>
      <c r="AE19" s="1400">
        <f t="shared" si="3"/>
        <v>0</v>
      </c>
    </row>
    <row r="20" spans="1:31" s="1400" customFormat="1" ht="19.5" customHeight="1">
      <c r="A20" s="1393"/>
      <c r="B20" s="1394">
        <v>9</v>
      </c>
      <c r="C20" s="1295" t="s">
        <v>767</v>
      </c>
      <c r="D20" s="1326"/>
      <c r="E20" s="1326"/>
      <c r="F20" s="1326"/>
      <c r="G20" s="1326"/>
      <c r="H20" s="1326"/>
      <c r="I20" s="1326"/>
      <c r="J20" s="1326"/>
      <c r="K20" s="1326"/>
      <c r="L20" s="808"/>
      <c r="M20" s="808"/>
      <c r="N20" s="795"/>
      <c r="O20" s="767"/>
      <c r="P20" s="738"/>
      <c r="Q20" s="738"/>
      <c r="R20" s="738"/>
      <c r="S20" s="738"/>
      <c r="T20" s="738"/>
      <c r="U20" s="738"/>
      <c r="V20" s="1745"/>
      <c r="W20" s="1746"/>
      <c r="X20" s="1400">
        <f aca="true" t="shared" si="4" ref="X20:AE22">IF(X$7=0,0,IF(Y$7=0,$V16,IF(OR(X$8&gt;=$V16,Y$8&gt;$V16),$V16,0)))</f>
        <v>0</v>
      </c>
      <c r="Y20" s="1400">
        <f t="shared" si="4"/>
        <v>0</v>
      </c>
      <c r="Z20" s="1400">
        <f t="shared" si="4"/>
        <v>0</v>
      </c>
      <c r="AA20" s="1400">
        <f t="shared" si="4"/>
        <v>0</v>
      </c>
      <c r="AB20" s="1400">
        <f t="shared" si="4"/>
        <v>0</v>
      </c>
      <c r="AC20" s="1400">
        <f t="shared" si="4"/>
        <v>0</v>
      </c>
      <c r="AD20" s="1400">
        <f t="shared" si="4"/>
        <v>0</v>
      </c>
      <c r="AE20" s="1400">
        <f t="shared" si="4"/>
        <v>0</v>
      </c>
    </row>
    <row r="21" spans="1:31" s="1400" customFormat="1" ht="19.5" customHeight="1">
      <c r="A21" s="1393"/>
      <c r="B21" s="1293">
        <v>10</v>
      </c>
      <c r="C21" s="1295" t="s">
        <v>641</v>
      </c>
      <c r="D21" s="1326"/>
      <c r="E21" s="1326"/>
      <c r="F21" s="1326"/>
      <c r="G21" s="1326"/>
      <c r="H21" s="1326"/>
      <c r="I21" s="1326"/>
      <c r="J21" s="1326"/>
      <c r="K21" s="1326"/>
      <c r="L21" s="808"/>
      <c r="M21" s="808"/>
      <c r="N21" s="795"/>
      <c r="O21" s="767"/>
      <c r="P21" s="738"/>
      <c r="Q21" s="738"/>
      <c r="R21" s="738"/>
      <c r="S21" s="738"/>
      <c r="T21" s="738"/>
      <c r="U21" s="738"/>
      <c r="X21" s="1400">
        <f t="shared" si="4"/>
        <v>0</v>
      </c>
      <c r="Y21" s="1400">
        <f t="shared" si="4"/>
        <v>0</v>
      </c>
      <c r="Z21" s="1400">
        <f t="shared" si="4"/>
        <v>0</v>
      </c>
      <c r="AA21" s="1400">
        <f t="shared" si="4"/>
        <v>0</v>
      </c>
      <c r="AB21" s="1400">
        <f t="shared" si="4"/>
        <v>0</v>
      </c>
      <c r="AC21" s="1400">
        <f t="shared" si="4"/>
        <v>0</v>
      </c>
      <c r="AD21" s="1400">
        <f t="shared" si="4"/>
        <v>0</v>
      </c>
      <c r="AE21" s="1400">
        <f t="shared" si="4"/>
        <v>0</v>
      </c>
    </row>
    <row r="22" spans="1:31" s="1400" customFormat="1" ht="19.5" customHeight="1">
      <c r="A22" s="744"/>
      <c r="B22" s="1394">
        <v>11</v>
      </c>
      <c r="C22" s="1295" t="s">
        <v>642</v>
      </c>
      <c r="D22" s="1326"/>
      <c r="E22" s="1326"/>
      <c r="F22" s="1326"/>
      <c r="G22" s="1326"/>
      <c r="H22" s="1326"/>
      <c r="I22" s="1326"/>
      <c r="J22" s="1326"/>
      <c r="K22" s="1326"/>
      <c r="L22" s="808"/>
      <c r="M22" s="808"/>
      <c r="N22" s="795"/>
      <c r="O22" s="767"/>
      <c r="P22" s="738"/>
      <c r="Q22" s="738"/>
      <c r="R22" s="738"/>
      <c r="S22" s="738"/>
      <c r="T22" s="738"/>
      <c r="U22" s="738"/>
      <c r="X22" s="1400">
        <f t="shared" si="4"/>
        <v>0</v>
      </c>
      <c r="Y22" s="1400">
        <f t="shared" si="4"/>
        <v>0</v>
      </c>
      <c r="Z22" s="1400">
        <f t="shared" si="4"/>
        <v>0</v>
      </c>
      <c r="AA22" s="1400">
        <f t="shared" si="4"/>
        <v>0</v>
      </c>
      <c r="AB22" s="1400">
        <f t="shared" si="4"/>
        <v>0</v>
      </c>
      <c r="AC22" s="1400">
        <f t="shared" si="4"/>
        <v>0</v>
      </c>
      <c r="AD22" s="1400">
        <f t="shared" si="4"/>
        <v>0</v>
      </c>
      <c r="AE22" s="1400">
        <f t="shared" si="4"/>
        <v>0</v>
      </c>
    </row>
    <row r="23" spans="1:21" s="1400" customFormat="1" ht="19.5" customHeight="1">
      <c r="A23" s="744"/>
      <c r="B23" s="1293">
        <v>12</v>
      </c>
      <c r="C23" s="1295" t="s">
        <v>712</v>
      </c>
      <c r="D23" s="1326"/>
      <c r="E23" s="1326"/>
      <c r="F23" s="1326"/>
      <c r="G23" s="1326"/>
      <c r="H23" s="1326"/>
      <c r="I23" s="1326"/>
      <c r="J23" s="1326"/>
      <c r="K23" s="1326"/>
      <c r="L23" s="808"/>
      <c r="M23" s="808"/>
      <c r="N23" s="795"/>
      <c r="O23" s="767"/>
      <c r="P23" s="738"/>
      <c r="Q23" s="738"/>
      <c r="R23" s="738"/>
      <c r="S23" s="738"/>
      <c r="T23" s="738"/>
      <c r="U23" s="738"/>
    </row>
    <row r="24" spans="1:21" s="1400" customFormat="1" ht="19.5" customHeight="1">
      <c r="A24" s="744"/>
      <c r="B24" s="1394">
        <v>13</v>
      </c>
      <c r="C24" s="1295" t="s">
        <v>713</v>
      </c>
      <c r="D24" s="1326"/>
      <c r="E24" s="1326"/>
      <c r="F24" s="1326"/>
      <c r="G24" s="1326"/>
      <c r="H24" s="1326"/>
      <c r="I24" s="1326"/>
      <c r="J24" s="1326"/>
      <c r="K24" s="1326"/>
      <c r="L24" s="808" t="s">
        <v>186</v>
      </c>
      <c r="M24" s="808" t="s">
        <v>33</v>
      </c>
      <c r="N24" s="795" t="s">
        <v>34</v>
      </c>
      <c r="O24" s="767"/>
      <c r="P24" s="738"/>
      <c r="Q24" s="738"/>
      <c r="R24" s="738"/>
      <c r="S24" s="738"/>
      <c r="T24" s="738"/>
      <c r="U24" s="738"/>
    </row>
    <row r="25" spans="1:15" ht="19.5" customHeight="1" thickBot="1">
      <c r="A25" s="744"/>
      <c r="B25" s="1293">
        <v>14</v>
      </c>
      <c r="C25" s="1307" t="s">
        <v>606</v>
      </c>
      <c r="D25" s="1326"/>
      <c r="E25" s="1326"/>
      <c r="F25" s="1326"/>
      <c r="G25" s="1326"/>
      <c r="H25" s="1326"/>
      <c r="I25" s="1326"/>
      <c r="J25" s="1326"/>
      <c r="K25" s="1326"/>
      <c r="L25" s="808" t="s">
        <v>714</v>
      </c>
      <c r="M25" s="808" t="s">
        <v>35</v>
      </c>
      <c r="N25" s="795" t="s">
        <v>36</v>
      </c>
      <c r="O25" s="767"/>
    </row>
    <row r="26" spans="1:15" ht="21" customHeight="1" thickBot="1">
      <c r="A26" s="744"/>
      <c r="B26" s="1394">
        <v>15</v>
      </c>
      <c r="C26" s="1308" t="s">
        <v>186</v>
      </c>
      <c r="D26" s="1309">
        <f>SUM(D16:D25)</f>
        <v>0</v>
      </c>
      <c r="E26" s="1309">
        <f aca="true" t="shared" si="5" ref="E26:K26">SUM(E16:E25)</f>
        <v>0</v>
      </c>
      <c r="F26" s="1309">
        <f t="shared" si="5"/>
        <v>0</v>
      </c>
      <c r="G26" s="1309">
        <f t="shared" si="5"/>
        <v>0</v>
      </c>
      <c r="H26" s="1309">
        <f t="shared" si="5"/>
        <v>0</v>
      </c>
      <c r="I26" s="1309">
        <f t="shared" si="5"/>
        <v>0</v>
      </c>
      <c r="J26" s="1309">
        <f t="shared" si="5"/>
        <v>0</v>
      </c>
      <c r="K26" s="1309">
        <f t="shared" si="5"/>
        <v>0</v>
      </c>
      <c r="L26" s="1274" t="s">
        <v>613</v>
      </c>
      <c r="M26" s="1274" t="s">
        <v>17</v>
      </c>
      <c r="N26" s="1273" t="s">
        <v>697</v>
      </c>
      <c r="O26" s="767"/>
    </row>
    <row r="27" spans="1:15" ht="21" customHeight="1">
      <c r="A27" s="744"/>
      <c r="B27" s="1293">
        <v>16</v>
      </c>
      <c r="C27" s="1297" t="s">
        <v>602</v>
      </c>
      <c r="D27" s="1298">
        <f aca="true" t="shared" si="6" ref="D27:K27">X9</f>
        <v>0</v>
      </c>
      <c r="E27" s="1298">
        <f t="shared" si="6"/>
        <v>0</v>
      </c>
      <c r="F27" s="1298">
        <f t="shared" si="6"/>
        <v>0</v>
      </c>
      <c r="G27" s="1298">
        <f t="shared" si="6"/>
        <v>0</v>
      </c>
      <c r="H27" s="1298">
        <f t="shared" si="6"/>
        <v>0</v>
      </c>
      <c r="I27" s="1298">
        <f t="shared" si="6"/>
        <v>0</v>
      </c>
      <c r="J27" s="1298">
        <f t="shared" si="6"/>
        <v>0</v>
      </c>
      <c r="K27" s="1385">
        <f t="shared" si="6"/>
        <v>0</v>
      </c>
      <c r="L27" s="1272" t="s">
        <v>614</v>
      </c>
      <c r="M27" s="1272" t="s">
        <v>37</v>
      </c>
      <c r="N27" s="773" t="s">
        <v>698</v>
      </c>
      <c r="O27" s="767"/>
    </row>
    <row r="28" spans="1:14" ht="21" customHeight="1" thickBot="1">
      <c r="A28" s="744"/>
      <c r="B28" s="1296"/>
      <c r="C28" s="1299"/>
      <c r="D28" s="1300"/>
      <c r="E28" s="1290"/>
      <c r="F28" s="1290"/>
      <c r="G28" s="1290"/>
      <c r="H28" s="1290"/>
      <c r="I28" s="1290"/>
      <c r="J28" s="1290"/>
      <c r="K28" s="1386"/>
      <c r="L28" s="1272" t="s">
        <v>615</v>
      </c>
      <c r="M28" s="1272" t="s">
        <v>38</v>
      </c>
      <c r="N28" s="773" t="s">
        <v>39</v>
      </c>
    </row>
    <row r="29" spans="1:14" ht="21.75" customHeight="1" thickBot="1">
      <c r="A29" s="744"/>
      <c r="B29" s="1301"/>
      <c r="C29" s="1302" t="s">
        <v>610</v>
      </c>
      <c r="D29" s="1303"/>
      <c r="E29" s="1303"/>
      <c r="F29" s="1303"/>
      <c r="G29" s="1303"/>
      <c r="H29" s="1303"/>
      <c r="I29" s="1303"/>
      <c r="J29" s="1303"/>
      <c r="K29" s="1304"/>
      <c r="L29" s="1271" t="s">
        <v>183</v>
      </c>
      <c r="M29" s="1271" t="s">
        <v>184</v>
      </c>
      <c r="N29" s="1271" t="s">
        <v>185</v>
      </c>
    </row>
    <row r="30" spans="1:14" ht="21.75" customHeight="1">
      <c r="A30" s="744"/>
      <c r="B30" s="1394">
        <v>17</v>
      </c>
      <c r="C30" s="1395" t="s">
        <v>14</v>
      </c>
      <c r="D30" s="1396">
        <f aca="true" t="shared" si="7" ref="D30:K30">ROUND((+D16)*D$27,0)</f>
        <v>0</v>
      </c>
      <c r="E30" s="1396">
        <f t="shared" si="7"/>
        <v>0</v>
      </c>
      <c r="F30" s="1396">
        <f t="shared" si="7"/>
        <v>0</v>
      </c>
      <c r="G30" s="1396">
        <f t="shared" si="7"/>
        <v>0</v>
      </c>
      <c r="H30" s="1396">
        <f t="shared" si="7"/>
        <v>0</v>
      </c>
      <c r="I30" s="1396">
        <f t="shared" si="7"/>
        <v>0</v>
      </c>
      <c r="J30" s="1396">
        <f t="shared" si="7"/>
        <v>0</v>
      </c>
      <c r="K30" s="1396">
        <f t="shared" si="7"/>
        <v>0</v>
      </c>
      <c r="L30" s="1397">
        <f>SUM(D30:K30)</f>
        <v>0</v>
      </c>
      <c r="M30" s="1398">
        <f>_C000337</f>
        <v>0</v>
      </c>
      <c r="N30" s="1399">
        <f>ROUND(IF(M30=0,0,+L30/M30),4)</f>
        <v>0</v>
      </c>
    </row>
    <row r="31" spans="1:14" ht="21.75" customHeight="1">
      <c r="A31" s="744"/>
      <c r="B31" s="1394">
        <v>18</v>
      </c>
      <c r="C31" s="1401" t="s">
        <v>723</v>
      </c>
      <c r="D31" s="1396">
        <f aca="true" t="shared" si="8" ref="D31:K31">ROUND((+D17)*D$27,0)</f>
        <v>0</v>
      </c>
      <c r="E31" s="1396">
        <f t="shared" si="8"/>
        <v>0</v>
      </c>
      <c r="F31" s="1396">
        <f t="shared" si="8"/>
        <v>0</v>
      </c>
      <c r="G31" s="1396">
        <f t="shared" si="8"/>
        <v>0</v>
      </c>
      <c r="H31" s="1396">
        <f t="shared" si="8"/>
        <v>0</v>
      </c>
      <c r="I31" s="1396">
        <f t="shared" si="8"/>
        <v>0</v>
      </c>
      <c r="J31" s="1396">
        <f t="shared" si="8"/>
        <v>0</v>
      </c>
      <c r="K31" s="1396">
        <f t="shared" si="8"/>
        <v>0</v>
      </c>
      <c r="L31" s="1397">
        <f aca="true" t="shared" si="9" ref="L31:L39">SUM(D31:K31)</f>
        <v>0</v>
      </c>
      <c r="M31" s="1398">
        <f aca="true" t="shared" si="10" ref="M31:M40">_C000527</f>
        <v>0</v>
      </c>
      <c r="N31" s="1399">
        <f aca="true" t="shared" si="11" ref="N31:N39">ROUND(IF(M31=0,0,+L31/M31),4)</f>
        <v>0</v>
      </c>
    </row>
    <row r="32" spans="1:21" ht="21.75" customHeight="1">
      <c r="A32" s="744"/>
      <c r="B32" s="1394">
        <v>19</v>
      </c>
      <c r="C32" s="1401" t="s">
        <v>724</v>
      </c>
      <c r="D32" s="1396">
        <f aca="true" t="shared" si="12" ref="D32:K32">ROUND((+D18)*D$27,0)</f>
        <v>0</v>
      </c>
      <c r="E32" s="1396">
        <f t="shared" si="12"/>
        <v>0</v>
      </c>
      <c r="F32" s="1396">
        <f t="shared" si="12"/>
        <v>0</v>
      </c>
      <c r="G32" s="1396">
        <f t="shared" si="12"/>
        <v>0</v>
      </c>
      <c r="H32" s="1396">
        <f t="shared" si="12"/>
        <v>0</v>
      </c>
      <c r="I32" s="1396">
        <f t="shared" si="12"/>
        <v>0</v>
      </c>
      <c r="J32" s="1396">
        <f t="shared" si="12"/>
        <v>0</v>
      </c>
      <c r="K32" s="1396">
        <f t="shared" si="12"/>
        <v>0</v>
      </c>
      <c r="L32" s="1397">
        <f t="shared" si="9"/>
        <v>0</v>
      </c>
      <c r="M32" s="1398">
        <f t="shared" si="10"/>
        <v>0</v>
      </c>
      <c r="N32" s="1399">
        <f t="shared" si="11"/>
        <v>0</v>
      </c>
      <c r="O32" s="1400"/>
      <c r="P32" s="1400"/>
      <c r="Q32" s="1400"/>
      <c r="R32" s="1400"/>
      <c r="S32" s="1400"/>
      <c r="T32" s="1400"/>
      <c r="U32" s="1400"/>
    </row>
    <row r="33" spans="1:21" ht="21.75" customHeight="1">
      <c r="A33" s="744"/>
      <c r="B33" s="1394">
        <v>20</v>
      </c>
      <c r="C33" s="1392" t="s">
        <v>643</v>
      </c>
      <c r="D33" s="1396">
        <f aca="true" t="shared" si="13" ref="D33:K34">ROUND((+D19)*D$27,0)</f>
        <v>0</v>
      </c>
      <c r="E33" s="1396">
        <f t="shared" si="13"/>
        <v>0</v>
      </c>
      <c r="F33" s="1396">
        <f t="shared" si="13"/>
        <v>0</v>
      </c>
      <c r="G33" s="1396">
        <f t="shared" si="13"/>
        <v>0</v>
      </c>
      <c r="H33" s="1396">
        <f t="shared" si="13"/>
        <v>0</v>
      </c>
      <c r="I33" s="1396">
        <f t="shared" si="13"/>
        <v>0</v>
      </c>
      <c r="J33" s="1396">
        <f t="shared" si="13"/>
        <v>0</v>
      </c>
      <c r="K33" s="1396">
        <f t="shared" si="13"/>
        <v>0</v>
      </c>
      <c r="L33" s="1397">
        <f t="shared" si="9"/>
        <v>0</v>
      </c>
      <c r="M33" s="1398">
        <f t="shared" si="10"/>
        <v>0</v>
      </c>
      <c r="N33" s="1399">
        <f t="shared" si="11"/>
        <v>0</v>
      </c>
      <c r="O33" s="1400"/>
      <c r="P33" s="1400"/>
      <c r="Q33" s="1400"/>
      <c r="R33" s="1400"/>
      <c r="S33" s="1400"/>
      <c r="T33" s="1400"/>
      <c r="U33" s="1400"/>
    </row>
    <row r="34" spans="1:21" ht="21.75" customHeight="1">
      <c r="A34" s="744"/>
      <c r="B34" s="1394">
        <v>21</v>
      </c>
      <c r="C34" s="1295" t="s">
        <v>767</v>
      </c>
      <c r="D34" s="1396">
        <f>ROUND((+D20)*D$27,0)</f>
        <v>0</v>
      </c>
      <c r="E34" s="1396">
        <f t="shared" si="13"/>
        <v>0</v>
      </c>
      <c r="F34" s="1396">
        <f>ROUND((+F20)*F$27,0)</f>
        <v>0</v>
      </c>
      <c r="G34" s="1396">
        <f t="shared" si="13"/>
        <v>0</v>
      </c>
      <c r="H34" s="1396">
        <f t="shared" si="13"/>
        <v>0</v>
      </c>
      <c r="I34" s="1396">
        <f t="shared" si="13"/>
        <v>0</v>
      </c>
      <c r="J34" s="1396">
        <f t="shared" si="13"/>
        <v>0</v>
      </c>
      <c r="K34" s="1396">
        <f t="shared" si="13"/>
        <v>0</v>
      </c>
      <c r="L34" s="1397">
        <f>SUM(D34:K34)</f>
        <v>0</v>
      </c>
      <c r="M34" s="1398">
        <f t="shared" si="10"/>
        <v>0</v>
      </c>
      <c r="N34" s="1399">
        <f>ROUND(IF(M34=0,0,+L34/M34),4)</f>
        <v>0</v>
      </c>
      <c r="O34" s="1400"/>
      <c r="P34" s="1400"/>
      <c r="Q34" s="1400"/>
      <c r="R34" s="1400"/>
      <c r="S34" s="1400"/>
      <c r="T34" s="1400"/>
      <c r="U34" s="1400"/>
    </row>
    <row r="35" spans="1:21" ht="21.75" customHeight="1">
      <c r="A35" s="744"/>
      <c r="B35" s="1394">
        <v>22</v>
      </c>
      <c r="C35" s="1392" t="s">
        <v>641</v>
      </c>
      <c r="D35" s="1396">
        <f aca="true" t="shared" si="14" ref="D35:K35">ROUND((+D21)*D$27,0)</f>
        <v>0</v>
      </c>
      <c r="E35" s="1396">
        <f t="shared" si="14"/>
        <v>0</v>
      </c>
      <c r="F35" s="1396">
        <f t="shared" si="14"/>
        <v>0</v>
      </c>
      <c r="G35" s="1396">
        <f t="shared" si="14"/>
        <v>0</v>
      </c>
      <c r="H35" s="1396">
        <f t="shared" si="14"/>
        <v>0</v>
      </c>
      <c r="I35" s="1396">
        <f t="shared" si="14"/>
        <v>0</v>
      </c>
      <c r="J35" s="1396">
        <f t="shared" si="14"/>
        <v>0</v>
      </c>
      <c r="K35" s="1396">
        <f t="shared" si="14"/>
        <v>0</v>
      </c>
      <c r="L35" s="1397">
        <f t="shared" si="9"/>
        <v>0</v>
      </c>
      <c r="M35" s="1398">
        <f t="shared" si="10"/>
        <v>0</v>
      </c>
      <c r="N35" s="1399">
        <f t="shared" si="11"/>
        <v>0</v>
      </c>
      <c r="O35" s="1400"/>
      <c r="P35" s="1400"/>
      <c r="Q35" s="1400"/>
      <c r="R35" s="1400"/>
      <c r="S35" s="1400"/>
      <c r="T35" s="1400"/>
      <c r="U35" s="1400"/>
    </row>
    <row r="36" spans="1:15" ht="21.75" customHeight="1">
      <c r="A36" s="744"/>
      <c r="B36" s="1394">
        <v>23</v>
      </c>
      <c r="C36" s="1392" t="s">
        <v>642</v>
      </c>
      <c r="D36" s="1396">
        <f aca="true" t="shared" si="15" ref="D36:K36">ROUND((+D22)*D$27,0)</f>
        <v>0</v>
      </c>
      <c r="E36" s="1396">
        <f t="shared" si="15"/>
        <v>0</v>
      </c>
      <c r="F36" s="1396">
        <f t="shared" si="15"/>
        <v>0</v>
      </c>
      <c r="G36" s="1396">
        <f t="shared" si="15"/>
        <v>0</v>
      </c>
      <c r="H36" s="1396">
        <f t="shared" si="15"/>
        <v>0</v>
      </c>
      <c r="I36" s="1396">
        <f t="shared" si="15"/>
        <v>0</v>
      </c>
      <c r="J36" s="1396">
        <f t="shared" si="15"/>
        <v>0</v>
      </c>
      <c r="K36" s="1396">
        <f t="shared" si="15"/>
        <v>0</v>
      </c>
      <c r="L36" s="1397">
        <f t="shared" si="9"/>
        <v>0</v>
      </c>
      <c r="M36" s="1398">
        <f t="shared" si="10"/>
        <v>0</v>
      </c>
      <c r="N36" s="1399">
        <f t="shared" si="11"/>
        <v>0</v>
      </c>
      <c r="O36" s="1381"/>
    </row>
    <row r="37" spans="1:15" ht="21.75" customHeight="1">
      <c r="A37" s="744"/>
      <c r="B37" s="1394">
        <v>24</v>
      </c>
      <c r="C37" s="1392" t="s">
        <v>712</v>
      </c>
      <c r="D37" s="1396">
        <f aca="true" t="shared" si="16" ref="D37:K37">ROUND((+D23)*D$27,0)</f>
        <v>0</v>
      </c>
      <c r="E37" s="1396">
        <f t="shared" si="16"/>
        <v>0</v>
      </c>
      <c r="F37" s="1396">
        <f t="shared" si="16"/>
        <v>0</v>
      </c>
      <c r="G37" s="1396">
        <f t="shared" si="16"/>
        <v>0</v>
      </c>
      <c r="H37" s="1396">
        <f t="shared" si="16"/>
        <v>0</v>
      </c>
      <c r="I37" s="1396">
        <f t="shared" si="16"/>
        <v>0</v>
      </c>
      <c r="J37" s="1396">
        <f t="shared" si="16"/>
        <v>0</v>
      </c>
      <c r="K37" s="1396">
        <f t="shared" si="16"/>
        <v>0</v>
      </c>
      <c r="L37" s="1397">
        <f>SUM(D37:K37)</f>
        <v>0</v>
      </c>
      <c r="M37" s="1398">
        <f t="shared" si="10"/>
        <v>0</v>
      </c>
      <c r="N37" s="1399">
        <f t="shared" si="11"/>
        <v>0</v>
      </c>
      <c r="O37" s="1381"/>
    </row>
    <row r="38" spans="1:15" ht="21.75" customHeight="1">
      <c r="A38" s="744"/>
      <c r="B38" s="1394">
        <v>25</v>
      </c>
      <c r="C38" s="1392" t="s">
        <v>713</v>
      </c>
      <c r="D38" s="1396">
        <f aca="true" t="shared" si="17" ref="D38:K38">ROUND((+D24)*D$27,0)</f>
        <v>0</v>
      </c>
      <c r="E38" s="1396">
        <f t="shared" si="17"/>
        <v>0</v>
      </c>
      <c r="F38" s="1396">
        <f t="shared" si="17"/>
        <v>0</v>
      </c>
      <c r="G38" s="1396">
        <f t="shared" si="17"/>
        <v>0</v>
      </c>
      <c r="H38" s="1396">
        <f t="shared" si="17"/>
        <v>0</v>
      </c>
      <c r="I38" s="1396">
        <f t="shared" si="17"/>
        <v>0</v>
      </c>
      <c r="J38" s="1396">
        <f t="shared" si="17"/>
        <v>0</v>
      </c>
      <c r="K38" s="1396">
        <f t="shared" si="17"/>
        <v>0</v>
      </c>
      <c r="L38" s="1397">
        <f>SUM(D38:K38)</f>
        <v>0</v>
      </c>
      <c r="M38" s="1398">
        <f t="shared" si="10"/>
        <v>0</v>
      </c>
      <c r="N38" s="1399">
        <f>ROUND(IF(M38=0,0,+L38/M38),4)</f>
        <v>0</v>
      </c>
      <c r="O38" s="1381"/>
    </row>
    <row r="39" spans="1:14" ht="21.75" customHeight="1" thickBot="1">
      <c r="A39" s="744"/>
      <c r="B39" s="1394">
        <v>26</v>
      </c>
      <c r="C39" s="1295" t="s">
        <v>606</v>
      </c>
      <c r="D39" s="1396">
        <f aca="true" t="shared" si="18" ref="D39:K39">ROUND((+D25)*D$27,0)</f>
        <v>0</v>
      </c>
      <c r="E39" s="1396">
        <f t="shared" si="18"/>
        <v>0</v>
      </c>
      <c r="F39" s="1396">
        <f t="shared" si="18"/>
        <v>0</v>
      </c>
      <c r="G39" s="1396">
        <f t="shared" si="18"/>
        <v>0</v>
      </c>
      <c r="H39" s="1396">
        <f t="shared" si="18"/>
        <v>0</v>
      </c>
      <c r="I39" s="1396">
        <f t="shared" si="18"/>
        <v>0</v>
      </c>
      <c r="J39" s="1396">
        <f t="shared" si="18"/>
        <v>0</v>
      </c>
      <c r="K39" s="1396">
        <f t="shared" si="18"/>
        <v>0</v>
      </c>
      <c r="L39" s="1397">
        <f t="shared" si="9"/>
        <v>0</v>
      </c>
      <c r="M39" s="1398">
        <f t="shared" si="10"/>
        <v>0</v>
      </c>
      <c r="N39" s="1399">
        <f t="shared" si="11"/>
        <v>0</v>
      </c>
    </row>
    <row r="40" spans="1:14" ht="19.5" customHeight="1" thickBot="1">
      <c r="A40" s="744"/>
      <c r="B40" s="1394">
        <v>27</v>
      </c>
      <c r="C40" s="1305" t="s">
        <v>186</v>
      </c>
      <c r="D40" s="1306">
        <f aca="true" t="shared" si="19" ref="D40:K40">SUM(D30:D39)</f>
        <v>0</v>
      </c>
      <c r="E40" s="1306">
        <f t="shared" si="19"/>
        <v>0</v>
      </c>
      <c r="F40" s="1306">
        <f t="shared" si="19"/>
        <v>0</v>
      </c>
      <c r="G40" s="1306">
        <f t="shared" si="19"/>
        <v>0</v>
      </c>
      <c r="H40" s="1306">
        <f t="shared" si="19"/>
        <v>0</v>
      </c>
      <c r="I40" s="1306">
        <f t="shared" si="19"/>
        <v>0</v>
      </c>
      <c r="J40" s="1306">
        <f t="shared" si="19"/>
        <v>0</v>
      </c>
      <c r="K40" s="1306">
        <f t="shared" si="19"/>
        <v>0</v>
      </c>
      <c r="L40" s="939">
        <f>SUM(D40:K40)</f>
        <v>0</v>
      </c>
      <c r="M40" s="938">
        <f t="shared" si="10"/>
        <v>0</v>
      </c>
      <c r="N40" s="775">
        <f>SUM(N30:N39)</f>
        <v>0</v>
      </c>
    </row>
    <row r="41" spans="1:13" ht="19.5" customHeight="1">
      <c r="A41" s="1393"/>
      <c r="B41" s="1265"/>
      <c r="H41" s="1266"/>
      <c r="M41" s="1265"/>
    </row>
    <row r="42" spans="1:15" ht="19.5" customHeight="1">
      <c r="A42" s="1393"/>
      <c r="C42" s="1380" t="s">
        <v>259</v>
      </c>
      <c r="D42" s="928">
        <f>D1</f>
        <v>0</v>
      </c>
      <c r="G42" s="741"/>
      <c r="H42" s="741"/>
      <c r="I42" s="742"/>
      <c r="J42" s="776"/>
      <c r="O42" s="1509"/>
    </row>
    <row r="43" spans="1:21" s="1400" customFormat="1" ht="29.25" customHeight="1">
      <c r="A43" s="1393"/>
      <c r="B43" s="738"/>
      <c r="C43" s="739" t="s">
        <v>16</v>
      </c>
      <c r="D43" s="740">
        <f>+Schedule_A!$I$8</f>
        <v>0</v>
      </c>
      <c r="E43" s="1345" t="str">
        <f>E2</f>
        <v>NURSING FACILITY 2019 COST REPORT</v>
      </c>
      <c r="F43" s="738"/>
      <c r="G43" s="741"/>
      <c r="H43" s="741"/>
      <c r="I43" s="738"/>
      <c r="J43" s="738"/>
      <c r="K43" s="742"/>
      <c r="L43" s="1319"/>
      <c r="M43" s="738"/>
      <c r="N43" s="738"/>
      <c r="O43" s="1509"/>
      <c r="P43" s="738"/>
      <c r="Q43" s="738"/>
      <c r="R43" s="738"/>
      <c r="S43" s="738"/>
      <c r="T43" s="738"/>
      <c r="U43" s="738"/>
    </row>
    <row r="44" spans="1:21" s="1400" customFormat="1" ht="19.5" customHeight="1">
      <c r="A44" s="1890"/>
      <c r="B44" s="1890"/>
      <c r="C44" s="1890"/>
      <c r="D44" s="1890"/>
      <c r="E44" s="1890"/>
      <c r="F44" s="1890"/>
      <c r="G44" s="1890"/>
      <c r="H44" s="1890"/>
      <c r="I44" s="1890"/>
      <c r="J44" s="1890"/>
      <c r="K44" s="1890"/>
      <c r="L44" s="1890"/>
      <c r="M44" s="1890"/>
      <c r="N44" s="1890"/>
      <c r="O44" s="1890"/>
      <c r="P44" s="738"/>
      <c r="Q44" s="738"/>
      <c r="R44" s="738"/>
      <c r="S44" s="738"/>
      <c r="T44" s="738"/>
      <c r="U44" s="738"/>
    </row>
    <row r="45" spans="1:21" s="1400" customFormat="1" ht="19.5" customHeight="1">
      <c r="A45" s="1890" t="str">
        <f>$A$4</f>
        <v>PRELIMINARY SETTLEMENT REPORT </v>
      </c>
      <c r="B45" s="1890"/>
      <c r="C45" s="1890"/>
      <c r="D45" s="1890"/>
      <c r="E45" s="1890"/>
      <c r="F45" s="1890"/>
      <c r="G45" s="1890"/>
      <c r="H45" s="1890"/>
      <c r="I45" s="1890"/>
      <c r="J45" s="1890"/>
      <c r="K45" s="1890"/>
      <c r="L45" s="1890"/>
      <c r="M45" s="1890"/>
      <c r="N45" s="1890"/>
      <c r="O45" s="1890"/>
      <c r="P45" s="738"/>
      <c r="Q45" s="738"/>
      <c r="R45" s="738"/>
      <c r="S45" s="738"/>
      <c r="T45" s="738"/>
      <c r="U45" s="738"/>
    </row>
    <row r="46" spans="1:21" s="1400" customFormat="1" ht="19.5" customHeight="1" thickBot="1">
      <c r="A46" s="738"/>
      <c r="B46" s="916" t="s">
        <v>611</v>
      </c>
      <c r="C46" s="745"/>
      <c r="D46" s="745"/>
      <c r="E46" s="745"/>
      <c r="F46" s="745"/>
      <c r="G46" s="745"/>
      <c r="H46" s="745"/>
      <c r="I46" s="745"/>
      <c r="J46" s="738"/>
      <c r="K46" s="738"/>
      <c r="L46" s="745"/>
      <c r="M46" s="745"/>
      <c r="N46" s="738"/>
      <c r="O46" s="1509"/>
      <c r="P46" s="738"/>
      <c r="Q46" s="738"/>
      <c r="R46" s="738"/>
      <c r="S46" s="738"/>
      <c r="T46" s="738"/>
      <c r="U46" s="738"/>
    </row>
    <row r="47" spans="1:21" s="1400" customFormat="1" ht="34.5" customHeight="1">
      <c r="A47" s="738"/>
      <c r="B47" s="777" t="s">
        <v>539</v>
      </c>
      <c r="C47" s="768" t="s">
        <v>618</v>
      </c>
      <c r="D47" s="750" t="s">
        <v>34</v>
      </c>
      <c r="E47" s="750" t="s">
        <v>240</v>
      </c>
      <c r="F47" s="1891" t="s">
        <v>616</v>
      </c>
      <c r="G47" s="778" t="s">
        <v>241</v>
      </c>
      <c r="H47" s="738"/>
      <c r="I47" s="1415" t="s">
        <v>644</v>
      </c>
      <c r="J47" s="1416"/>
      <c r="K47" s="1417">
        <f>_C903981</f>
        <v>0</v>
      </c>
      <c r="L47" s="1415"/>
      <c r="M47" s="738"/>
      <c r="N47" s="738"/>
      <c r="O47" s="738"/>
      <c r="P47" s="738"/>
      <c r="Q47" s="738"/>
      <c r="R47" s="738"/>
      <c r="S47" s="738"/>
      <c r="T47" s="738"/>
      <c r="U47" s="738"/>
    </row>
    <row r="48" spans="2:12" ht="45.75" customHeight="1">
      <c r="B48" s="779" t="s">
        <v>543</v>
      </c>
      <c r="C48" s="1279"/>
      <c r="D48" s="780" t="s">
        <v>725</v>
      </c>
      <c r="E48" s="780" t="s">
        <v>242</v>
      </c>
      <c r="F48" s="1892"/>
      <c r="G48" s="1425" t="s">
        <v>726</v>
      </c>
      <c r="I48" s="1415"/>
      <c r="J48" s="1416"/>
      <c r="K48" s="1416"/>
      <c r="L48" s="1415"/>
    </row>
    <row r="49" spans="2:12" ht="19.5" customHeight="1" thickBot="1">
      <c r="B49" s="755"/>
      <c r="C49" s="1280" t="s">
        <v>603</v>
      </c>
      <c r="D49" s="781" t="s">
        <v>473</v>
      </c>
      <c r="E49" s="781" t="s">
        <v>474</v>
      </c>
      <c r="F49" s="781" t="s">
        <v>475</v>
      </c>
      <c r="G49" s="781" t="s">
        <v>476</v>
      </c>
      <c r="I49" s="1415"/>
      <c r="J49" s="1418" t="s">
        <v>645</v>
      </c>
      <c r="K49" s="1416" t="s">
        <v>646</v>
      </c>
      <c r="L49" s="1415"/>
    </row>
    <row r="50" spans="2:12" ht="19.5" customHeight="1">
      <c r="B50" s="758">
        <v>28</v>
      </c>
      <c r="C50" s="1424" t="s">
        <v>707</v>
      </c>
      <c r="D50" s="1388">
        <f>_C000528+K50</f>
        <v>0</v>
      </c>
      <c r="E50" s="783">
        <f>_C000449</f>
        <v>0</v>
      </c>
      <c r="F50" s="783">
        <f>IF(E50&gt;D50,D50,IF(E50&lt;D50,E50,D50))</f>
        <v>0</v>
      </c>
      <c r="G50" s="782">
        <f>_C000576</f>
        <v>0</v>
      </c>
      <c r="I50" s="1419">
        <f>_C000528</f>
        <v>0</v>
      </c>
      <c r="J50" s="1420">
        <f>IF(I50=0,0,I50/$I$55)</f>
        <v>0</v>
      </c>
      <c r="K50" s="1421">
        <f>J50*$K$47</f>
        <v>0</v>
      </c>
      <c r="L50" s="1415" t="s">
        <v>13</v>
      </c>
    </row>
    <row r="51" spans="2:12" ht="19.5" customHeight="1">
      <c r="B51" s="762">
        <v>29</v>
      </c>
      <c r="C51" s="1389" t="s">
        <v>708</v>
      </c>
      <c r="D51" s="1388">
        <f>_C001907+K51</f>
        <v>0</v>
      </c>
      <c r="E51" s="785"/>
      <c r="F51" s="783">
        <f>_C001914</f>
        <v>0</v>
      </c>
      <c r="G51" s="782">
        <f>_C001916</f>
        <v>0</v>
      </c>
      <c r="I51" s="1419">
        <f>_C001907</f>
        <v>0</v>
      </c>
      <c r="J51" s="1420">
        <f>IF(I51=0,0,I51/$I$55)</f>
        <v>0</v>
      </c>
      <c r="K51" s="1421">
        <f>J51*$K$47</f>
        <v>0</v>
      </c>
      <c r="L51" s="1415" t="s">
        <v>710</v>
      </c>
    </row>
    <row r="52" spans="2:12" ht="19.5" customHeight="1">
      <c r="B52" s="758">
        <v>30</v>
      </c>
      <c r="C52" s="1387" t="s">
        <v>709</v>
      </c>
      <c r="D52" s="1388">
        <f>_C000546+K52</f>
        <v>0</v>
      </c>
      <c r="E52" s="785"/>
      <c r="F52" s="783">
        <f>_C000586</f>
        <v>0</v>
      </c>
      <c r="G52" s="782">
        <f>_C000588</f>
        <v>0</v>
      </c>
      <c r="I52" s="1419">
        <f>_C000546</f>
        <v>0</v>
      </c>
      <c r="J52" s="1420">
        <f>IF(I52=0,0,I52/$I$55)</f>
        <v>0</v>
      </c>
      <c r="K52" s="1421">
        <f>J52*$K$47</f>
        <v>0</v>
      </c>
      <c r="L52" s="1415" t="s">
        <v>711</v>
      </c>
    </row>
    <row r="53" spans="2:12" ht="19.5" customHeight="1">
      <c r="B53" s="762">
        <v>31</v>
      </c>
      <c r="C53" s="1390" t="s">
        <v>660</v>
      </c>
      <c r="D53" s="1261">
        <f>_C903959+K53</f>
        <v>0</v>
      </c>
      <c r="E53" s="1262"/>
      <c r="F53" s="783">
        <f>_C903982</f>
        <v>0</v>
      </c>
      <c r="G53" s="782">
        <f>_C903984</f>
        <v>0</v>
      </c>
      <c r="I53" s="1419">
        <f>_C903959</f>
        <v>0</v>
      </c>
      <c r="J53" s="1420">
        <f>IF(I53=0,0,I53/$I$55)</f>
        <v>0</v>
      </c>
      <c r="K53" s="1421">
        <f>J53*$K$47</f>
        <v>0</v>
      </c>
      <c r="L53" s="1415" t="s">
        <v>647</v>
      </c>
    </row>
    <row r="54" spans="2:12" ht="19.5" customHeight="1">
      <c r="B54" s="758">
        <v>32</v>
      </c>
      <c r="C54" s="1390" t="s">
        <v>768</v>
      </c>
      <c r="D54" s="1261">
        <f>_C904148+K54</f>
        <v>0</v>
      </c>
      <c r="E54" s="1262"/>
      <c r="F54" s="783">
        <f>_C904149</f>
        <v>0</v>
      </c>
      <c r="G54" s="782">
        <f>_C904150</f>
        <v>0</v>
      </c>
      <c r="I54" s="1419">
        <f>N34</f>
        <v>0</v>
      </c>
      <c r="J54" s="1420">
        <f>IF(I54=0,0,I54/$I$55)</f>
        <v>0</v>
      </c>
      <c r="K54" s="1421">
        <f>J54*$K$47</f>
        <v>0</v>
      </c>
      <c r="L54" s="1415" t="s">
        <v>769</v>
      </c>
    </row>
    <row r="55" spans="2:12" ht="19.5" customHeight="1">
      <c r="B55" s="762">
        <v>33</v>
      </c>
      <c r="C55" s="1390" t="s">
        <v>641</v>
      </c>
      <c r="D55" s="1261">
        <f>_C903970</f>
        <v>0</v>
      </c>
      <c r="E55" s="1262"/>
      <c r="F55" s="783">
        <f>_C903983</f>
        <v>0</v>
      </c>
      <c r="G55" s="782">
        <f>_C903985</f>
        <v>0</v>
      </c>
      <c r="I55" s="1419">
        <f>SUM(I50:I54)</f>
        <v>0</v>
      </c>
      <c r="J55" s="1420">
        <f>SUM(J50:J54)</f>
        <v>0</v>
      </c>
      <c r="K55" s="1421">
        <f>SUM(K50:K54)</f>
        <v>0</v>
      </c>
      <c r="L55" s="1415" t="s">
        <v>221</v>
      </c>
    </row>
    <row r="56" spans="2:7" ht="19.5" customHeight="1">
      <c r="B56" s="758">
        <v>34</v>
      </c>
      <c r="C56" s="1390" t="s">
        <v>712</v>
      </c>
      <c r="D56" s="1261">
        <f>_C904016</f>
        <v>0</v>
      </c>
      <c r="E56" s="1262"/>
      <c r="F56" s="783">
        <f>_C904028</f>
        <v>0</v>
      </c>
      <c r="G56" s="782">
        <f>_C904029</f>
        <v>0</v>
      </c>
    </row>
    <row r="57" spans="2:7" ht="19.5" customHeight="1">
      <c r="B57" s="762">
        <v>35</v>
      </c>
      <c r="C57" s="1390" t="s">
        <v>713</v>
      </c>
      <c r="D57" s="1261">
        <f>_C904027</f>
        <v>0</v>
      </c>
      <c r="E57" s="1262"/>
      <c r="F57" s="783">
        <f>_C904031</f>
        <v>0</v>
      </c>
      <c r="G57" s="782">
        <f>_C904032</f>
        <v>0</v>
      </c>
    </row>
    <row r="58" spans="2:13" ht="19.5" customHeight="1" thickBot="1">
      <c r="B58" s="758">
        <v>36</v>
      </c>
      <c r="C58" s="1311" t="s">
        <v>606</v>
      </c>
      <c r="D58" s="1263">
        <f>_C903725</f>
        <v>0</v>
      </c>
      <c r="E58" s="1313"/>
      <c r="F58" s="783">
        <f>_C903732</f>
        <v>0</v>
      </c>
      <c r="G58" s="782">
        <f>F58</f>
        <v>0</v>
      </c>
      <c r="M58" s="1513"/>
    </row>
    <row r="59" spans="2:7" ht="19.5" customHeight="1" thickBot="1">
      <c r="B59" s="762">
        <v>37</v>
      </c>
      <c r="C59" s="1312" t="s">
        <v>186</v>
      </c>
      <c r="D59" s="786">
        <f>SUM(D50:D58)</f>
        <v>0</v>
      </c>
      <c r="E59" s="786">
        <f>_C000575</f>
        <v>0</v>
      </c>
      <c r="F59" s="786">
        <f>SUM(F50:F58)</f>
        <v>0</v>
      </c>
      <c r="G59" s="1314">
        <f>SUM(G50:G58)</f>
        <v>0</v>
      </c>
    </row>
    <row r="60" spans="2:7" ht="19.5" customHeight="1">
      <c r="B60" s="1310"/>
      <c r="C60" s="788"/>
      <c r="D60" s="767"/>
      <c r="E60" s="767"/>
      <c r="F60" s="767"/>
      <c r="G60" s="767"/>
    </row>
    <row r="61" spans="1:15" ht="24" customHeight="1">
      <c r="A61" s="1890" t="str">
        <f>A4</f>
        <v>PRELIMINARY SETTLEMENT REPORT </v>
      </c>
      <c r="B61" s="1890"/>
      <c r="C61" s="1890"/>
      <c r="D61" s="1890"/>
      <c r="E61" s="1890"/>
      <c r="F61" s="1890"/>
      <c r="G61" s="1890"/>
      <c r="H61" s="1890"/>
      <c r="I61" s="1890"/>
      <c r="J61" s="1890"/>
      <c r="K61" s="1890"/>
      <c r="L61" s="1890"/>
      <c r="M61" s="1890"/>
      <c r="N61" s="1890"/>
      <c r="O61" s="1890"/>
    </row>
    <row r="62" spans="2:13" ht="27" customHeight="1" thickBot="1">
      <c r="B62" s="787" t="s">
        <v>612</v>
      </c>
      <c r="C62" s="766"/>
      <c r="D62" s="767"/>
      <c r="E62" s="767"/>
      <c r="F62" s="767"/>
      <c r="G62" s="745"/>
      <c r="H62" s="745"/>
      <c r="I62" s="745"/>
      <c r="L62" s="745"/>
      <c r="M62" s="745"/>
    </row>
    <row r="63" spans="2:13" ht="34.5" customHeight="1">
      <c r="B63" s="768" t="s">
        <v>539</v>
      </c>
      <c r="C63" s="790"/>
      <c r="D63" s="791"/>
      <c r="E63" s="791"/>
      <c r="F63" s="792"/>
      <c r="G63" s="793"/>
      <c r="H63" s="794"/>
      <c r="I63" s="772" t="s">
        <v>193</v>
      </c>
      <c r="L63" s="784"/>
      <c r="M63" s="745"/>
    </row>
    <row r="64" spans="2:13" ht="34.5" customHeight="1" thickBot="1">
      <c r="B64" s="771" t="s">
        <v>543</v>
      </c>
      <c r="C64" s="796"/>
      <c r="D64" s="797"/>
      <c r="E64" s="797"/>
      <c r="F64" s="797"/>
      <c r="G64" s="797"/>
      <c r="H64" s="798"/>
      <c r="I64" s="799"/>
      <c r="L64" s="745"/>
      <c r="M64" s="745"/>
    </row>
    <row r="65" spans="2:13" ht="15.75">
      <c r="B65" s="758">
        <v>38</v>
      </c>
      <c r="C65" s="800" t="str">
        <f>"PRELIMINARY SETTLEMENT RATE (Lesser of Part C, Column 1, Line "&amp;B59&amp;" or Column 3, Line "&amp;B59</f>
        <v>PRELIMINARY SETTLEMENT RATE (Lesser of Part C, Column 1, Line 37 or Column 3, Line 37</v>
      </c>
      <c r="D65" s="743"/>
      <c r="E65" s="743"/>
      <c r="F65" s="743"/>
      <c r="G65" s="743"/>
      <c r="H65" s="801"/>
      <c r="I65" s="774">
        <f>IF(G59&gt;D59,D59,G59)</f>
        <v>0</v>
      </c>
      <c r="L65" s="745"/>
      <c r="M65" s="795"/>
    </row>
    <row r="66" spans="2:13" ht="15.75">
      <c r="B66" s="758">
        <v>39</v>
      </c>
      <c r="C66" s="800" t="s">
        <v>243</v>
      </c>
      <c r="D66" s="743"/>
      <c r="E66" s="743"/>
      <c r="F66" s="743"/>
      <c r="G66" s="743"/>
      <c r="H66" s="801"/>
      <c r="I66" s="802">
        <f>M40</f>
        <v>0</v>
      </c>
      <c r="L66" s="745"/>
      <c r="M66" s="745"/>
    </row>
    <row r="67" spans="2:13" ht="15.75">
      <c r="B67" s="758">
        <v>40</v>
      </c>
      <c r="C67" s="800" t="str">
        <f>"UNADJUSTED PRELIMINARY SETTLEMENT AMOUNT (Line "&amp;B65&amp;" x Line "&amp;B66&amp;")"</f>
        <v>UNADJUSTED PRELIMINARY SETTLEMENT AMOUNT (Line 38 x Line 39)</v>
      </c>
      <c r="D67" s="743"/>
      <c r="E67" s="743"/>
      <c r="F67" s="743"/>
      <c r="G67" s="743"/>
      <c r="H67" s="801"/>
      <c r="I67" s="803">
        <f>ROUND(+I65*I66,0)</f>
        <v>0</v>
      </c>
      <c r="L67" s="745"/>
      <c r="M67" s="745"/>
    </row>
    <row r="68" spans="2:13" ht="16.5" customHeight="1">
      <c r="B68" s="758">
        <v>41</v>
      </c>
      <c r="C68" s="1893" t="s">
        <v>1081</v>
      </c>
      <c r="D68" s="1894"/>
      <c r="E68" s="1894"/>
      <c r="F68" s="1894"/>
      <c r="G68" s="1894"/>
      <c r="H68" s="1895"/>
      <c r="I68" s="803">
        <f>_C901511</f>
        <v>0</v>
      </c>
      <c r="L68" s="745"/>
      <c r="M68" s="745"/>
    </row>
    <row r="69" spans="2:13" ht="30.75" customHeight="1">
      <c r="B69" s="758">
        <v>42</v>
      </c>
      <c r="C69" s="1888" t="s">
        <v>1044</v>
      </c>
      <c r="D69" s="1889"/>
      <c r="E69" s="1889"/>
      <c r="F69" s="1889"/>
      <c r="G69" s="1315">
        <v>197.98</v>
      </c>
      <c r="H69" s="1316">
        <v>207.64</v>
      </c>
      <c r="I69" s="1317">
        <f>(G69*SUM(Schedule_M!E8:E13))+((SUM(Schedule_M!E14:E19)*H69))</f>
        <v>0</v>
      </c>
      <c r="L69" s="745"/>
      <c r="M69" s="745"/>
    </row>
    <row r="70" spans="2:13" ht="15.75">
      <c r="B70" s="758">
        <v>43</v>
      </c>
      <c r="C70" s="800" t="str">
        <f>"TOTAL PRELIMINARY SETTLEMENT AMOUNT (Lines "&amp;B67&amp;"+"&amp;B68&amp;"+"&amp;B69&amp;")"</f>
        <v>TOTAL PRELIMINARY SETTLEMENT AMOUNT (Lines 40+41+42)</v>
      </c>
      <c r="D70" s="743"/>
      <c r="E70" s="743"/>
      <c r="F70" s="743"/>
      <c r="G70" s="743"/>
      <c r="H70" s="801"/>
      <c r="I70" s="803">
        <f>SUM(I67:I69)</f>
        <v>0</v>
      </c>
      <c r="L70" s="745"/>
      <c r="M70" s="745"/>
    </row>
    <row r="71" spans="2:15" ht="15.75">
      <c r="B71" s="758">
        <v>44</v>
      </c>
      <c r="C71" s="800" t="s">
        <v>607</v>
      </c>
      <c r="D71" s="743"/>
      <c r="E71" s="743"/>
      <c r="F71" s="743"/>
      <c r="G71" s="743"/>
      <c r="H71" s="801"/>
      <c r="I71" s="803">
        <f>Schedule_M!G21</f>
        <v>0</v>
      </c>
      <c r="L71" s="745"/>
      <c r="M71" s="745"/>
      <c r="O71" s="1320"/>
    </row>
    <row r="72" spans="2:15" ht="15.75">
      <c r="B72" s="758">
        <v>45</v>
      </c>
      <c r="C72" s="800" t="str">
        <f>"SUB TOTAL (Line "&amp;B70&amp;" less Line "&amp;B71&amp;")"</f>
        <v>SUB TOTAL (Line 43 less Line 44)</v>
      </c>
      <c r="D72" s="743"/>
      <c r="E72" s="743"/>
      <c r="F72" s="743"/>
      <c r="G72" s="743"/>
      <c r="H72" s="801"/>
      <c r="I72" s="803">
        <f>I70-I71</f>
        <v>0</v>
      </c>
      <c r="L72" s="745"/>
      <c r="M72" s="745"/>
      <c r="O72" s="1320"/>
    </row>
    <row r="73" spans="2:15" ht="15.75">
      <c r="B73" s="758">
        <v>46</v>
      </c>
      <c r="C73" s="800" t="str">
        <f>"BALANCE DUE PROVIDER (Excess of Line "&amp;B70&amp;" over Line "&amp;B71&amp;")"</f>
        <v>BALANCE DUE PROVIDER (Excess of Line 43 over Line 44)</v>
      </c>
      <c r="D73" s="743"/>
      <c r="E73" s="743"/>
      <c r="F73" s="743"/>
      <c r="G73" s="743"/>
      <c r="H73" s="801"/>
      <c r="I73" s="803">
        <f>IF(I72&gt;0,(I72),0)</f>
        <v>0</v>
      </c>
      <c r="L73" s="745"/>
      <c r="M73" s="745"/>
      <c r="O73" s="1320"/>
    </row>
    <row r="74" spans="2:15" ht="16.5" thickBot="1">
      <c r="B74" s="758">
        <v>47</v>
      </c>
      <c r="C74" s="804" t="str">
        <f>"BALANCE DUE DSHS (Excess of Line "&amp;B71&amp;" over Line "&amp;B70&amp;")"</f>
        <v>BALANCE DUE DSHS (Excess of Line 44 over Line 43)</v>
      </c>
      <c r="D74" s="805"/>
      <c r="E74" s="805"/>
      <c r="F74" s="805"/>
      <c r="G74" s="805"/>
      <c r="H74" s="806"/>
      <c r="I74" s="807">
        <f>IF(I72&lt;0,-1*(I72),0)</f>
        <v>0</v>
      </c>
      <c r="L74" s="745"/>
      <c r="M74" s="745"/>
      <c r="O74" s="1320"/>
    </row>
    <row r="75" spans="2:15" ht="19.5" customHeight="1">
      <c r="B75" s="767"/>
      <c r="C75" s="767"/>
      <c r="D75" s="789"/>
      <c r="E75" s="914"/>
      <c r="F75" s="767"/>
      <c r="G75" s="767"/>
      <c r="H75" s="767"/>
      <c r="I75" s="767"/>
      <c r="L75" s="795"/>
      <c r="M75" s="795"/>
      <c r="O75" s="1320"/>
    </row>
    <row r="76" spans="2:15" ht="19.5" customHeight="1">
      <c r="B76" s="767"/>
      <c r="C76" s="767"/>
      <c r="D76" s="789"/>
      <c r="E76" s="914"/>
      <c r="F76" s="767"/>
      <c r="G76" s="767"/>
      <c r="H76" s="767"/>
      <c r="I76" s="767"/>
      <c r="L76" s="808"/>
      <c r="M76" s="795"/>
      <c r="O76" s="1320"/>
    </row>
    <row r="77" spans="2:17" ht="19.5" customHeight="1">
      <c r="B77" s="767"/>
      <c r="C77" s="1277"/>
      <c r="D77" s="1278"/>
      <c r="E77" s="767"/>
      <c r="F77" s="767"/>
      <c r="G77" s="741"/>
      <c r="H77" s="741"/>
      <c r="I77" s="742"/>
      <c r="J77" s="767"/>
      <c r="K77" s="915"/>
      <c r="L77" s="808"/>
      <c r="M77" s="767"/>
      <c r="N77" s="767"/>
      <c r="O77" s="767"/>
      <c r="Q77" s="767"/>
    </row>
    <row r="78" spans="2:21" ht="19.5" customHeight="1">
      <c r="B78" s="767"/>
      <c r="C78" s="1277"/>
      <c r="D78" s="741"/>
      <c r="E78" s="767"/>
      <c r="F78" s="767"/>
      <c r="G78" s="741"/>
      <c r="H78" s="741"/>
      <c r="I78" s="767"/>
      <c r="J78" s="767"/>
      <c r="K78" s="915"/>
      <c r="L78" s="808"/>
      <c r="M78" s="1276"/>
      <c r="N78" s="767"/>
      <c r="O78" s="767"/>
      <c r="P78" s="767"/>
      <c r="Q78" s="767"/>
      <c r="R78" s="767"/>
      <c r="S78" s="767"/>
      <c r="T78" s="767"/>
      <c r="U78" s="767"/>
    </row>
    <row r="79" spans="2:21" ht="19.5" customHeight="1">
      <c r="B79" s="767"/>
      <c r="C79" s="1277"/>
      <c r="D79" s="741"/>
      <c r="E79" s="767"/>
      <c r="F79" s="767"/>
      <c r="G79" s="741"/>
      <c r="H79" s="741"/>
      <c r="I79" s="767"/>
      <c r="J79" s="776"/>
      <c r="K79" s="767"/>
      <c r="L79" s="767"/>
      <c r="M79" s="767"/>
      <c r="N79" s="767"/>
      <c r="O79" s="767"/>
      <c r="P79" s="767"/>
      <c r="Q79" s="767"/>
      <c r="R79" s="767"/>
      <c r="S79" s="767"/>
      <c r="T79" s="767"/>
      <c r="U79" s="767"/>
    </row>
    <row r="80" spans="2:21" ht="19.5" customHeight="1">
      <c r="B80" s="767"/>
      <c r="C80" s="767"/>
      <c r="D80" s="767"/>
      <c r="E80" s="767"/>
      <c r="F80" s="767"/>
      <c r="G80" s="767"/>
      <c r="H80" s="767"/>
      <c r="I80" s="767"/>
      <c r="J80" s="767"/>
      <c r="K80" s="742"/>
      <c r="L80" s="767"/>
      <c r="M80" s="767"/>
      <c r="N80" s="767"/>
      <c r="O80" s="767"/>
      <c r="P80" s="767"/>
      <c r="Q80" s="767"/>
      <c r="R80" s="767"/>
      <c r="S80" s="767"/>
      <c r="T80" s="767"/>
      <c r="U80" s="767"/>
    </row>
    <row r="81" spans="2:21" ht="19.5" customHeight="1">
      <c r="B81" s="767"/>
      <c r="C81" s="767"/>
      <c r="D81" s="767"/>
      <c r="E81" s="767"/>
      <c r="F81" s="767"/>
      <c r="G81" s="767"/>
      <c r="H81" s="767"/>
      <c r="I81" s="767"/>
      <c r="J81" s="767"/>
      <c r="K81" s="767"/>
      <c r="L81" s="742"/>
      <c r="M81" s="767"/>
      <c r="N81" s="767"/>
      <c r="O81" s="767"/>
      <c r="P81" s="767"/>
      <c r="Q81" s="767"/>
      <c r="R81" s="767"/>
      <c r="S81" s="767"/>
      <c r="T81" s="767"/>
      <c r="U81" s="767"/>
    </row>
    <row r="82" spans="10:21" ht="19.5" customHeight="1">
      <c r="J82" s="767"/>
      <c r="K82" s="767"/>
      <c r="L82" s="767"/>
      <c r="M82" s="767"/>
      <c r="N82" s="767"/>
      <c r="O82" s="767"/>
      <c r="P82" s="767"/>
      <c r="Q82" s="767"/>
      <c r="R82" s="767"/>
      <c r="S82" s="767"/>
      <c r="T82" s="767"/>
      <c r="U82" s="767"/>
    </row>
    <row r="83" spans="10:21" ht="19.5" customHeight="1">
      <c r="J83" s="767"/>
      <c r="K83" s="767"/>
      <c r="L83" s="767"/>
      <c r="M83" s="767"/>
      <c r="N83" s="767"/>
      <c r="O83" s="767"/>
      <c r="P83" s="767"/>
      <c r="Q83" s="767"/>
      <c r="R83" s="767"/>
      <c r="S83" s="767"/>
      <c r="T83" s="767"/>
      <c r="U83" s="767"/>
    </row>
    <row r="84" spans="16:21" ht="19.5" customHeight="1">
      <c r="P84" s="767"/>
      <c r="Q84" s="767"/>
      <c r="R84" s="767"/>
      <c r="S84" s="767"/>
      <c r="T84" s="767"/>
      <c r="U84" s="767"/>
    </row>
    <row r="85" ht="19.5" customHeight="1"/>
    <row r="86" ht="19.5" customHeight="1"/>
    <row r="87" ht="21.75" customHeight="1"/>
    <row r="88" ht="19.5" customHeight="1"/>
    <row r="89" ht="19.5" customHeight="1"/>
    <row r="90" ht="19.5" customHeight="1"/>
    <row r="91" ht="73.5" customHeight="1"/>
    <row r="92" ht="27" customHeight="1"/>
    <row r="93" ht="33" customHeight="1"/>
    <row r="94" ht="30" customHeight="1"/>
    <row r="95" ht="19.5" customHeight="1"/>
    <row r="96" ht="19.5" customHeight="1"/>
    <row r="97" ht="19.5" customHeight="1">
      <c r="A97" s="1275"/>
    </row>
    <row r="98" ht="19.5" customHeight="1">
      <c r="A98" s="1275"/>
    </row>
    <row r="99" ht="19.5" customHeight="1">
      <c r="A99" s="1275"/>
    </row>
    <row r="100" spans="1:21" s="767" customFormat="1" ht="19.5" customHeight="1">
      <c r="A100" s="1275"/>
      <c r="B100" s="738"/>
      <c r="C100" s="738"/>
      <c r="D100" s="738"/>
      <c r="E100" s="738"/>
      <c r="F100" s="738"/>
      <c r="G100" s="738"/>
      <c r="H100" s="738"/>
      <c r="I100" s="738"/>
      <c r="J100" s="738"/>
      <c r="K100" s="738"/>
      <c r="L100" s="738"/>
      <c r="M100" s="738"/>
      <c r="N100" s="738"/>
      <c r="O100" s="738"/>
      <c r="P100" s="738"/>
      <c r="Q100" s="738"/>
      <c r="R100" s="738"/>
      <c r="S100" s="738"/>
      <c r="T100" s="738"/>
      <c r="U100" s="738"/>
    </row>
    <row r="101" spans="1:21" s="767" customFormat="1" ht="19.5" customHeight="1">
      <c r="A101" s="1275"/>
      <c r="B101" s="738"/>
      <c r="C101" s="738"/>
      <c r="D101" s="738"/>
      <c r="E101" s="738"/>
      <c r="F101" s="738"/>
      <c r="G101" s="738"/>
      <c r="H101" s="738"/>
      <c r="I101" s="738"/>
      <c r="J101" s="738"/>
      <c r="K101" s="738"/>
      <c r="L101" s="738"/>
      <c r="M101" s="738"/>
      <c r="N101" s="738"/>
      <c r="O101" s="738"/>
      <c r="P101" s="738"/>
      <c r="Q101" s="738"/>
      <c r="R101" s="738"/>
      <c r="S101" s="738"/>
      <c r="T101" s="738"/>
      <c r="U101" s="738"/>
    </row>
    <row r="102" spans="2:21" s="767" customFormat="1" ht="19.5" customHeight="1">
      <c r="B102" s="738"/>
      <c r="C102" s="738"/>
      <c r="D102" s="738"/>
      <c r="E102" s="738"/>
      <c r="F102" s="738"/>
      <c r="G102" s="738"/>
      <c r="H102" s="738"/>
      <c r="I102" s="738"/>
      <c r="J102" s="738"/>
      <c r="K102" s="738"/>
      <c r="L102" s="738"/>
      <c r="M102" s="738"/>
      <c r="N102" s="738"/>
      <c r="O102" s="738"/>
      <c r="P102" s="738"/>
      <c r="Q102" s="738"/>
      <c r="R102" s="738"/>
      <c r="S102" s="738"/>
      <c r="T102" s="738"/>
      <c r="U102" s="738"/>
    </row>
    <row r="103" spans="2:21" s="767" customFormat="1" ht="19.5" customHeight="1">
      <c r="B103" s="738"/>
      <c r="C103" s="738"/>
      <c r="D103" s="738"/>
      <c r="E103" s="738"/>
      <c r="F103" s="738"/>
      <c r="G103" s="738"/>
      <c r="H103" s="738"/>
      <c r="I103" s="738"/>
      <c r="J103" s="738"/>
      <c r="K103" s="738"/>
      <c r="L103" s="738"/>
      <c r="M103" s="738"/>
      <c r="N103" s="738"/>
      <c r="O103" s="738"/>
      <c r="P103" s="738"/>
      <c r="Q103" s="738"/>
      <c r="R103" s="738"/>
      <c r="S103" s="738"/>
      <c r="T103" s="738"/>
      <c r="U103" s="738"/>
    </row>
    <row r="104" spans="1:21" s="767" customFormat="1" ht="19.5" customHeight="1">
      <c r="A104" s="738"/>
      <c r="B104" s="738"/>
      <c r="C104" s="738"/>
      <c r="D104" s="738"/>
      <c r="E104" s="738"/>
      <c r="F104" s="738"/>
      <c r="G104" s="738"/>
      <c r="H104" s="738"/>
      <c r="I104" s="738"/>
      <c r="J104" s="738"/>
      <c r="K104" s="738"/>
      <c r="L104" s="738"/>
      <c r="M104" s="738"/>
      <c r="N104" s="738"/>
      <c r="O104" s="738"/>
      <c r="P104" s="738"/>
      <c r="Q104" s="738"/>
      <c r="R104" s="738"/>
      <c r="S104" s="738"/>
      <c r="T104" s="738"/>
      <c r="U104" s="738"/>
    </row>
    <row r="105" spans="1:21" s="767" customFormat="1" ht="15.75">
      <c r="A105" s="738"/>
      <c r="B105" s="738"/>
      <c r="C105" s="738"/>
      <c r="D105" s="738"/>
      <c r="E105" s="738"/>
      <c r="F105" s="738"/>
      <c r="G105" s="738"/>
      <c r="H105" s="738"/>
      <c r="I105" s="738"/>
      <c r="J105" s="738"/>
      <c r="K105" s="738"/>
      <c r="L105" s="738"/>
      <c r="M105" s="738"/>
      <c r="N105" s="738"/>
      <c r="O105" s="738"/>
      <c r="P105" s="738"/>
      <c r="Q105" s="738"/>
      <c r="R105" s="738"/>
      <c r="S105" s="738"/>
      <c r="T105" s="738"/>
      <c r="U105" s="738"/>
    </row>
    <row r="106" spans="1:21" s="767" customFormat="1" ht="15.75">
      <c r="A106" s="738"/>
      <c r="B106" s="738"/>
      <c r="C106" s="738"/>
      <c r="D106" s="738"/>
      <c r="E106" s="738"/>
      <c r="F106" s="738"/>
      <c r="G106" s="738"/>
      <c r="H106" s="738"/>
      <c r="I106" s="738"/>
      <c r="J106" s="738"/>
      <c r="K106" s="738"/>
      <c r="L106" s="738"/>
      <c r="M106" s="738"/>
      <c r="N106" s="738"/>
      <c r="O106" s="738"/>
      <c r="P106" s="738"/>
      <c r="Q106" s="738"/>
      <c r="R106" s="738"/>
      <c r="S106" s="738"/>
      <c r="T106" s="738"/>
      <c r="U106" s="738"/>
    </row>
    <row r="113" spans="2:8" ht="15.75">
      <c r="B113" s="1265"/>
      <c r="H113" s="1266"/>
    </row>
    <row r="115" ht="15.75">
      <c r="M115" s="1267"/>
    </row>
  </sheetData>
  <sheetProtection password="EE7C" sheet="1"/>
  <mergeCells count="7">
    <mergeCell ref="C69:F69"/>
    <mergeCell ref="A4:N4"/>
    <mergeCell ref="F47:F48"/>
    <mergeCell ref="C68:H68"/>
    <mergeCell ref="A61:O61"/>
    <mergeCell ref="A44:O44"/>
    <mergeCell ref="A45:O45"/>
  </mergeCells>
  <printOptions/>
  <pageMargins left="0.2" right="0.2" top="0.75" bottom="0.2" header="0.17" footer="0.2"/>
  <pageSetup fitToHeight="0" fitToWidth="1" horizontalDpi="600" verticalDpi="600" orientation="landscape" scale="42" r:id="rId1"/>
  <headerFooter alignWithMargins="0">
    <oddFooter>&amp;LDSHS 23-003&amp;C &amp;=&amp;P-2&amp;RSchedule O (Page &amp;P-30 of 2)</oddFooter>
  </headerFooter>
  <rowBreaks count="2" manualBreakCount="2">
    <brk id="40" max="255" man="1"/>
    <brk id="98" max="13" man="1"/>
  </rowBreaks>
</worksheet>
</file>

<file path=xl/worksheets/sheet17.xml><?xml version="1.0" encoding="utf-8"?>
<worksheet xmlns="http://schemas.openxmlformats.org/spreadsheetml/2006/main" xmlns:r="http://schemas.openxmlformats.org/officeDocument/2006/relationships">
  <sheetPr>
    <pageSetUpPr fitToPage="1"/>
  </sheetPr>
  <dimension ref="A1:M87"/>
  <sheetViews>
    <sheetView zoomScalePageLayoutView="50" workbookViewId="0" topLeftCell="A1">
      <selection activeCell="F4" sqref="F4"/>
    </sheetView>
  </sheetViews>
  <sheetFormatPr defaultColWidth="9.140625" defaultRowHeight="12.75"/>
  <cols>
    <col min="2" max="2" width="8.8515625" style="0" customWidth="1"/>
    <col min="3" max="3" width="12.140625" style="0" customWidth="1"/>
    <col min="4" max="4" width="69.00390625" style="0" customWidth="1"/>
    <col min="5" max="5" width="19.8515625" style="0" customWidth="1"/>
    <col min="6" max="6" width="20.7109375" style="0" customWidth="1"/>
    <col min="11" max="11" width="53.140625" style="0" customWidth="1"/>
    <col min="12" max="12" width="15.57421875" style="0" customWidth="1"/>
    <col min="13" max="13" width="13.57421875" style="0" customWidth="1"/>
  </cols>
  <sheetData>
    <row r="1" spans="1:7" ht="15.75">
      <c r="A1" s="177"/>
      <c r="B1" s="177"/>
      <c r="C1" s="178" t="s">
        <v>265</v>
      </c>
      <c r="D1" s="928">
        <f>Schedule_B!D1</f>
        <v>0</v>
      </c>
      <c r="E1" s="179"/>
      <c r="F1" s="177"/>
      <c r="G1" s="177"/>
    </row>
    <row r="2" spans="1:7" ht="15.75">
      <c r="A2" s="177"/>
      <c r="B2" s="177"/>
      <c r="C2" s="178" t="s">
        <v>266</v>
      </c>
      <c r="D2" s="740">
        <f>+Schedule_A!$I$8</f>
        <v>0</v>
      </c>
      <c r="E2" t="str">
        <f>Schedule_A!A3</f>
        <v>NURSING FACILITY 2019 COST REPORT</v>
      </c>
      <c r="G2" s="177"/>
    </row>
    <row r="3" spans="1:7" ht="16.5" thickBot="1">
      <c r="A3" s="177"/>
      <c r="B3" s="177"/>
      <c r="C3" s="178"/>
      <c r="D3" s="741"/>
      <c r="G3" s="177"/>
    </row>
    <row r="4" spans="5:6" ht="16.5" thickBot="1">
      <c r="E4" s="1247" t="s">
        <v>638</v>
      </c>
      <c r="F4" s="1376"/>
    </row>
    <row r="5" ht="15.75">
      <c r="F5" s="864"/>
    </row>
    <row r="6" spans="1:7" ht="41.25" customHeight="1">
      <c r="A6" s="1896" t="s">
        <v>1015</v>
      </c>
      <c r="B6" s="1896"/>
      <c r="C6" s="1896"/>
      <c r="D6" s="1896"/>
      <c r="E6" s="1896"/>
      <c r="F6" s="1896"/>
      <c r="G6" s="180"/>
    </row>
    <row r="7" spans="1:7" ht="16.5" thickBot="1">
      <c r="A7" s="1043" t="s">
        <v>1058</v>
      </c>
      <c r="B7" s="180"/>
      <c r="C7" s="180"/>
      <c r="D7" s="180"/>
      <c r="E7" s="180"/>
      <c r="F7" s="180"/>
      <c r="G7" s="180"/>
    </row>
    <row r="8" spans="1:7" ht="15.75" customHeight="1">
      <c r="A8" s="1043"/>
      <c r="B8" s="182" t="s">
        <v>1053</v>
      </c>
      <c r="C8" s="1044" t="s">
        <v>1054</v>
      </c>
      <c r="D8" s="183" t="s">
        <v>1055</v>
      </c>
      <c r="E8" s="183" t="s">
        <v>1056</v>
      </c>
      <c r="F8" s="1045" t="s">
        <v>1057</v>
      </c>
      <c r="G8" s="180"/>
    </row>
    <row r="9" spans="1:7" ht="15.75" customHeight="1">
      <c r="A9" s="1043"/>
      <c r="B9" s="1816">
        <v>25900</v>
      </c>
      <c r="C9" s="1817">
        <v>4202115</v>
      </c>
      <c r="D9" s="1818" t="s">
        <v>901</v>
      </c>
      <c r="E9" s="1819">
        <v>32874</v>
      </c>
      <c r="F9" s="1820">
        <v>43678</v>
      </c>
      <c r="G9" s="180"/>
    </row>
    <row r="10" spans="1:7" ht="15.75" customHeight="1">
      <c r="A10" s="1043"/>
      <c r="B10" s="1816">
        <v>30800</v>
      </c>
      <c r="C10" s="1817">
        <v>4204509</v>
      </c>
      <c r="D10" s="1818" t="s">
        <v>902</v>
      </c>
      <c r="E10" s="1819">
        <v>27851</v>
      </c>
      <c r="F10" s="1820">
        <v>523456</v>
      </c>
      <c r="G10" s="180"/>
    </row>
    <row r="11" spans="1:7" ht="15.75" customHeight="1">
      <c r="A11" s="1043"/>
      <c r="B11" s="1816">
        <v>31300</v>
      </c>
      <c r="C11" s="1817">
        <v>4186706</v>
      </c>
      <c r="D11" s="1818" t="s">
        <v>971</v>
      </c>
      <c r="E11" s="1819">
        <v>31079</v>
      </c>
      <c r="F11" s="1820">
        <v>523456</v>
      </c>
      <c r="G11" s="180"/>
    </row>
    <row r="12" spans="1:7" ht="15.75" customHeight="1">
      <c r="A12" s="1043"/>
      <c r="B12" s="1816">
        <v>31500</v>
      </c>
      <c r="C12" s="1817">
        <v>4210704</v>
      </c>
      <c r="D12" s="1818" t="s">
        <v>903</v>
      </c>
      <c r="E12" s="1819">
        <v>27851</v>
      </c>
      <c r="F12" s="1820">
        <v>523456</v>
      </c>
      <c r="G12" s="180"/>
    </row>
    <row r="13" spans="1:7" ht="15.75" customHeight="1">
      <c r="A13" s="1043"/>
      <c r="B13" s="1816">
        <v>31590</v>
      </c>
      <c r="C13" s="1817">
        <v>4205407</v>
      </c>
      <c r="D13" s="1818" t="s">
        <v>871</v>
      </c>
      <c r="E13" s="1819">
        <v>28491</v>
      </c>
      <c r="F13" s="1820">
        <v>523456</v>
      </c>
      <c r="G13" s="180"/>
    </row>
    <row r="14" spans="1:7" ht="15.75" customHeight="1" thickBot="1">
      <c r="A14" s="1043"/>
      <c r="B14" s="1821">
        <v>40010</v>
      </c>
      <c r="C14" s="1822">
        <v>4210001</v>
      </c>
      <c r="D14" s="1823" t="s">
        <v>850</v>
      </c>
      <c r="E14" s="1824">
        <v>38747</v>
      </c>
      <c r="F14" s="1825">
        <v>523456</v>
      </c>
      <c r="G14" s="180"/>
    </row>
    <row r="15" spans="1:7" ht="15.75" customHeight="1" thickBot="1">
      <c r="A15" s="177"/>
      <c r="B15" s="177"/>
      <c r="C15" s="177"/>
      <c r="D15" s="177"/>
      <c r="E15" s="181"/>
      <c r="F15" s="177"/>
      <c r="G15" s="177"/>
    </row>
    <row r="16" spans="1:7" ht="34.5" customHeight="1">
      <c r="A16" s="177"/>
      <c r="B16" s="182" t="s">
        <v>181</v>
      </c>
      <c r="C16" s="1044" t="s">
        <v>40</v>
      </c>
      <c r="D16" s="183"/>
      <c r="E16" s="183"/>
      <c r="F16" s="1045" t="s">
        <v>41</v>
      </c>
      <c r="G16" s="177"/>
    </row>
    <row r="17" spans="1:7" ht="15.75" customHeight="1">
      <c r="A17" s="177"/>
      <c r="B17" s="184">
        <v>1</v>
      </c>
      <c r="C17" s="1046" t="s">
        <v>42</v>
      </c>
      <c r="D17" s="1047"/>
      <c r="E17" s="1048"/>
      <c r="F17" s="1072"/>
      <c r="G17" s="177"/>
    </row>
    <row r="18" spans="1:7" ht="15.75" customHeight="1">
      <c r="A18" s="177"/>
      <c r="B18" s="184">
        <f>B17+1</f>
        <v>2</v>
      </c>
      <c r="C18" s="185"/>
      <c r="D18" s="1049" t="s">
        <v>43</v>
      </c>
      <c r="E18" s="186"/>
      <c r="F18" s="1073"/>
      <c r="G18" s="177"/>
    </row>
    <row r="19" spans="1:7" ht="15.75" customHeight="1" thickBot="1">
      <c r="A19" s="177"/>
      <c r="B19" s="184">
        <f aca="true" t="shared" si="0" ref="B19:B37">B18+1</f>
        <v>3</v>
      </c>
      <c r="C19" s="185"/>
      <c r="D19" s="1049" t="s">
        <v>44</v>
      </c>
      <c r="E19" s="186"/>
      <c r="F19" s="1073"/>
      <c r="G19" s="177"/>
    </row>
    <row r="20" spans="1:7" ht="15.75" customHeight="1" thickBot="1" thickTop="1">
      <c r="A20" s="177"/>
      <c r="B20" s="184">
        <f t="shared" si="0"/>
        <v>4</v>
      </c>
      <c r="C20" s="185"/>
      <c r="D20" s="1049" t="s">
        <v>45</v>
      </c>
      <c r="E20" s="186"/>
      <c r="F20" s="1050">
        <f>F18-F19</f>
        <v>0</v>
      </c>
      <c r="G20" s="177"/>
    </row>
    <row r="21" spans="1:7" ht="15.75" customHeight="1" thickTop="1">
      <c r="A21" s="177"/>
      <c r="B21" s="184">
        <f t="shared" si="0"/>
        <v>5</v>
      </c>
      <c r="C21" s="1051"/>
      <c r="D21" s="1052"/>
      <c r="E21" s="1053"/>
      <c r="F21" s="1054"/>
      <c r="G21" s="177"/>
    </row>
    <row r="22" spans="1:13" ht="15.75" customHeight="1">
      <c r="A22" s="177"/>
      <c r="B22" s="184">
        <f t="shared" si="0"/>
        <v>6</v>
      </c>
      <c r="C22" s="1046" t="s">
        <v>46</v>
      </c>
      <c r="D22" s="1047"/>
      <c r="E22" s="1048"/>
      <c r="F22" s="1055"/>
      <c r="G22" s="177"/>
      <c r="I22" s="1813"/>
      <c r="J22" s="1813"/>
      <c r="K22" s="1814"/>
      <c r="L22" s="1815"/>
      <c r="M22" s="1815"/>
    </row>
    <row r="23" spans="1:13" ht="15.75" customHeight="1">
      <c r="A23" s="177"/>
      <c r="B23" s="1056">
        <f t="shared" si="0"/>
        <v>7</v>
      </c>
      <c r="C23" s="1057"/>
      <c r="D23" s="1058" t="s">
        <v>47</v>
      </c>
      <c r="E23" s="186"/>
      <c r="F23" s="1073"/>
      <c r="G23" s="177"/>
      <c r="I23" s="1813"/>
      <c r="J23" s="1813"/>
      <c r="K23" s="1814"/>
      <c r="L23" s="1815"/>
      <c r="M23" s="1815"/>
    </row>
    <row r="24" spans="2:13" ht="15.75" customHeight="1">
      <c r="B24" s="184">
        <f t="shared" si="0"/>
        <v>8</v>
      </c>
      <c r="C24" s="185"/>
      <c r="D24" s="1058" t="s">
        <v>727</v>
      </c>
      <c r="E24" s="186"/>
      <c r="F24" s="1073"/>
      <c r="I24" s="1813"/>
      <c r="J24" s="1813"/>
      <c r="K24" s="1814"/>
      <c r="L24" s="1815"/>
      <c r="M24" s="1815"/>
    </row>
    <row r="25" spans="2:13" ht="15.75" customHeight="1" thickBot="1">
      <c r="B25" s="184">
        <f t="shared" si="0"/>
        <v>9</v>
      </c>
      <c r="C25" s="185"/>
      <c r="D25" s="1058" t="s">
        <v>48</v>
      </c>
      <c r="E25" s="186"/>
      <c r="F25" s="1073"/>
      <c r="I25" s="1813"/>
      <c r="J25" s="1813"/>
      <c r="K25" s="1814"/>
      <c r="L25" s="1815"/>
      <c r="M25" s="1815"/>
    </row>
    <row r="26" spans="2:13" ht="15.75" customHeight="1" thickBot="1" thickTop="1">
      <c r="B26" s="184">
        <f t="shared" si="0"/>
        <v>10</v>
      </c>
      <c r="C26" s="185"/>
      <c r="D26" s="1058" t="s">
        <v>49</v>
      </c>
      <c r="E26" s="186"/>
      <c r="F26" s="1050">
        <f>SUM(F23:F25)</f>
        <v>0</v>
      </c>
      <c r="I26" s="1813"/>
      <c r="J26" s="1813"/>
      <c r="K26" s="1814"/>
      <c r="L26" s="1815"/>
      <c r="M26" s="1815"/>
    </row>
    <row r="27" spans="2:13" ht="15.75" customHeight="1" thickTop="1">
      <c r="B27" s="184">
        <f t="shared" si="0"/>
        <v>11</v>
      </c>
      <c r="C27" s="1051"/>
      <c r="D27" s="1059"/>
      <c r="E27" s="1053"/>
      <c r="F27" s="1054"/>
      <c r="I27" s="1813"/>
      <c r="J27" s="1813"/>
      <c r="K27" s="1814"/>
      <c r="L27" s="1815"/>
      <c r="M27" s="1815"/>
    </row>
    <row r="28" spans="2:13" ht="15.75" customHeight="1" thickBot="1">
      <c r="B28" s="184">
        <f t="shared" si="0"/>
        <v>12</v>
      </c>
      <c r="C28" s="1046" t="s">
        <v>50</v>
      </c>
      <c r="D28" s="1060"/>
      <c r="E28" s="1060"/>
      <c r="F28" s="1061"/>
      <c r="I28" s="1813"/>
      <c r="J28" s="1813"/>
      <c r="K28" s="1814"/>
      <c r="L28" s="1815"/>
      <c r="M28" s="1815"/>
    </row>
    <row r="29" spans="2:13" ht="15.75" customHeight="1" thickBot="1" thickTop="1">
      <c r="B29" s="184">
        <f t="shared" si="0"/>
        <v>13</v>
      </c>
      <c r="C29" s="185"/>
      <c r="D29" s="1058" t="s">
        <v>51</v>
      </c>
      <c r="E29" s="186"/>
      <c r="F29" s="1074"/>
      <c r="I29" s="1813"/>
      <c r="J29" s="1813"/>
      <c r="K29" s="1814"/>
      <c r="L29" s="1815"/>
      <c r="M29" s="1815"/>
    </row>
    <row r="30" spans="2:13" ht="15.75" customHeight="1" thickTop="1">
      <c r="B30" s="184">
        <f t="shared" si="0"/>
        <v>14</v>
      </c>
      <c r="C30" s="1051"/>
      <c r="D30" s="1059"/>
      <c r="E30" s="1053"/>
      <c r="F30" s="1054"/>
      <c r="I30" s="1813"/>
      <c r="J30" s="1813"/>
      <c r="K30" s="1814"/>
      <c r="L30" s="1815"/>
      <c r="M30" s="1815"/>
    </row>
    <row r="31" spans="2:13" ht="15.75" customHeight="1">
      <c r="B31" s="1113">
        <f t="shared" si="0"/>
        <v>15</v>
      </c>
      <c r="C31" s="1062" t="s">
        <v>52</v>
      </c>
      <c r="D31" s="1063"/>
      <c r="E31" s="1063"/>
      <c r="F31" s="1061"/>
      <c r="I31" s="1813"/>
      <c r="J31" s="1813"/>
      <c r="K31" s="1814"/>
      <c r="L31" s="1815"/>
      <c r="M31" s="1815"/>
    </row>
    <row r="32" spans="2:13" ht="15.75" customHeight="1">
      <c r="B32" s="1114"/>
      <c r="C32" s="1115" t="s">
        <v>53</v>
      </c>
      <c r="D32" s="1116"/>
      <c r="E32" s="1116"/>
      <c r="F32" s="1117"/>
      <c r="I32" s="1813"/>
      <c r="J32" s="1813"/>
      <c r="K32" s="1814"/>
      <c r="L32" s="1815"/>
      <c r="M32" s="1815"/>
    </row>
    <row r="33" spans="2:13" ht="15.75" customHeight="1">
      <c r="B33" s="184">
        <f>B31+1</f>
        <v>16</v>
      </c>
      <c r="C33" s="185"/>
      <c r="D33" s="1049" t="s">
        <v>54</v>
      </c>
      <c r="E33" s="186"/>
      <c r="F33" s="1073"/>
      <c r="I33" s="1813"/>
      <c r="J33" s="1813"/>
      <c r="K33" s="1814"/>
      <c r="L33" s="1815"/>
      <c r="M33" s="1815"/>
    </row>
    <row r="34" spans="2:6" ht="15.75">
      <c r="B34" s="184">
        <v>17</v>
      </c>
      <c r="C34" s="185"/>
      <c r="D34" s="1049" t="s">
        <v>728</v>
      </c>
      <c r="E34" s="186"/>
      <c r="F34" s="1073"/>
    </row>
    <row r="35" spans="2:6" ht="15.75">
      <c r="B35" s="184">
        <v>18</v>
      </c>
      <c r="C35" s="185"/>
      <c r="D35" s="1049" t="s">
        <v>729</v>
      </c>
      <c r="E35" s="186"/>
      <c r="F35" s="1073"/>
    </row>
    <row r="36" spans="2:6" ht="16.5" thickBot="1">
      <c r="B36" s="184">
        <f t="shared" si="0"/>
        <v>19</v>
      </c>
      <c r="C36" s="185"/>
      <c r="D36" s="1049" t="s">
        <v>244</v>
      </c>
      <c r="E36" s="186"/>
      <c r="F36" s="1073"/>
    </row>
    <row r="37" spans="2:6" ht="16.5" thickTop="1">
      <c r="B37" s="1118">
        <f t="shared" si="0"/>
        <v>20</v>
      </c>
      <c r="C37" s="187"/>
      <c r="D37" s="1064" t="s">
        <v>730</v>
      </c>
      <c r="E37" s="188"/>
      <c r="F37" s="1120">
        <f>IF(SUM(F33:F36)=F24,SUM(F33:F36),"errrrrrrrrrr")</f>
        <v>0</v>
      </c>
    </row>
    <row r="38" spans="2:6" ht="13.5" customHeight="1" thickBot="1">
      <c r="B38" s="1119"/>
      <c r="C38" s="1065"/>
      <c r="D38" s="1664" t="s">
        <v>731</v>
      </c>
      <c r="E38" s="1122"/>
      <c r="F38" s="1121"/>
    </row>
    <row r="39" spans="2:6" ht="16.5" thickBot="1">
      <c r="B39" s="1066"/>
      <c r="C39" s="1067"/>
      <c r="D39" s="1068"/>
      <c r="E39" s="1068"/>
      <c r="F39" s="1069"/>
    </row>
    <row r="41" ht="13.5" thickBot="1"/>
    <row r="42" spans="2:6" ht="12.75">
      <c r="B42" s="1110" t="s">
        <v>245</v>
      </c>
      <c r="C42" s="1111"/>
      <c r="D42" s="1111"/>
      <c r="E42" s="1111"/>
      <c r="F42" s="1112"/>
    </row>
    <row r="43" spans="2:6" ht="12.75">
      <c r="B43" s="1075"/>
      <c r="C43" s="1076"/>
      <c r="D43" s="1076"/>
      <c r="E43" s="1076"/>
      <c r="F43" s="1077"/>
    </row>
    <row r="44" spans="2:6" ht="12.75">
      <c r="B44" s="1075"/>
      <c r="C44" s="1076"/>
      <c r="D44" s="1076"/>
      <c r="E44" s="1076"/>
      <c r="F44" s="1077"/>
    </row>
    <row r="45" spans="2:6" ht="12.75">
      <c r="B45" s="1075"/>
      <c r="C45" s="1076"/>
      <c r="D45" s="1076"/>
      <c r="E45" s="1076"/>
      <c r="F45" s="1077"/>
    </row>
    <row r="46" spans="2:6" ht="12.75">
      <c r="B46" s="1075"/>
      <c r="C46" s="1076"/>
      <c r="D46" s="1076"/>
      <c r="E46" s="1076"/>
      <c r="F46" s="1077"/>
    </row>
    <row r="47" spans="2:6" ht="12.75">
      <c r="B47" s="1075"/>
      <c r="C47" s="1076"/>
      <c r="D47" s="1076"/>
      <c r="E47" s="1076"/>
      <c r="F47" s="1077"/>
    </row>
    <row r="48" spans="2:6" ht="12.75">
      <c r="B48" s="1075"/>
      <c r="C48" s="1076"/>
      <c r="D48" s="1076"/>
      <c r="E48" s="1076"/>
      <c r="F48" s="1077"/>
    </row>
    <row r="49" spans="2:6" ht="12.75">
      <c r="B49" s="1075"/>
      <c r="C49" s="1076"/>
      <c r="D49" s="1076"/>
      <c r="E49" s="1076"/>
      <c r="F49" s="1077"/>
    </row>
    <row r="50" spans="2:6" ht="12.75">
      <c r="B50" s="1075"/>
      <c r="C50" s="1076"/>
      <c r="D50" s="1076"/>
      <c r="E50" s="1076"/>
      <c r="F50" s="1077"/>
    </row>
    <row r="51" spans="2:6" ht="12.75">
      <c r="B51" s="1075"/>
      <c r="C51" s="1076"/>
      <c r="D51" s="1076"/>
      <c r="E51" s="1076"/>
      <c r="F51" s="1077"/>
    </row>
    <row r="52" spans="2:6" ht="12.75">
      <c r="B52" s="1075"/>
      <c r="C52" s="1076"/>
      <c r="D52" s="1076"/>
      <c r="E52" s="1076"/>
      <c r="F52" s="1077"/>
    </row>
    <row r="53" spans="2:6" ht="12.75">
      <c r="B53" s="1075"/>
      <c r="C53" s="1076"/>
      <c r="D53" s="1076"/>
      <c r="E53" s="1076"/>
      <c r="F53" s="1077"/>
    </row>
    <row r="54" spans="2:6" ht="12.75">
      <c r="B54" s="1075"/>
      <c r="C54" s="1076"/>
      <c r="D54" s="1076"/>
      <c r="E54" s="1076"/>
      <c r="F54" s="1077"/>
    </row>
    <row r="55" spans="2:6" ht="12.75">
      <c r="B55" s="1075"/>
      <c r="C55" s="1076"/>
      <c r="D55" s="1076"/>
      <c r="E55" s="1076"/>
      <c r="F55" s="1077"/>
    </row>
    <row r="56" spans="2:6" ht="12.75">
      <c r="B56" s="1075"/>
      <c r="C56" s="1076"/>
      <c r="D56" s="1076"/>
      <c r="E56" s="1076"/>
      <c r="F56" s="1077"/>
    </row>
    <row r="57" spans="2:6" ht="12.75">
      <c r="B57" s="1075"/>
      <c r="C57" s="1076"/>
      <c r="D57" s="1076"/>
      <c r="E57" s="1076"/>
      <c r="F57" s="1077"/>
    </row>
    <row r="58" spans="2:6" ht="12.75">
      <c r="B58" s="1075"/>
      <c r="C58" s="1076"/>
      <c r="D58" s="1076"/>
      <c r="E58" s="1076"/>
      <c r="F58" s="1077"/>
    </row>
    <row r="59" spans="2:6" ht="12.75">
      <c r="B59" s="1075"/>
      <c r="C59" s="1076"/>
      <c r="D59" s="1076"/>
      <c r="E59" s="1076"/>
      <c r="F59" s="1077"/>
    </row>
    <row r="60" spans="2:6" ht="13.5" thickBot="1">
      <c r="B60" s="1078"/>
      <c r="C60" s="1079"/>
      <c r="D60" s="1079"/>
      <c r="E60" s="1079"/>
      <c r="F60" s="1080"/>
    </row>
    <row r="61" spans="2:6" ht="12.75">
      <c r="B61" s="1081"/>
      <c r="C61" s="1081"/>
      <c r="D61" s="1081"/>
      <c r="E61" s="1081"/>
      <c r="F61" s="1081"/>
    </row>
    <row r="62" spans="2:6" ht="12.75">
      <c r="B62" s="1081"/>
      <c r="C62" s="1081"/>
      <c r="D62" s="1081"/>
      <c r="E62" s="1081"/>
      <c r="F62" s="1081"/>
    </row>
    <row r="63" spans="2:6" ht="12.75">
      <c r="B63" s="1081"/>
      <c r="C63" s="1081"/>
      <c r="D63" s="1081"/>
      <c r="E63" s="1081"/>
      <c r="F63" s="1081"/>
    </row>
    <row r="64" spans="2:6" ht="12.75">
      <c r="B64" s="1081"/>
      <c r="C64" s="1081"/>
      <c r="D64" s="1081"/>
      <c r="E64" s="1081"/>
      <c r="F64" s="1081"/>
    </row>
    <row r="65" spans="2:6" ht="12.75">
      <c r="B65" s="1081"/>
      <c r="C65" s="1081"/>
      <c r="D65" s="1081"/>
      <c r="E65" s="1081"/>
      <c r="F65" s="1081"/>
    </row>
    <row r="66" spans="2:6" ht="12.75">
      <c r="B66" s="1081"/>
      <c r="C66" s="1081"/>
      <c r="D66" s="1081"/>
      <c r="E66" s="1081"/>
      <c r="F66" s="1081"/>
    </row>
    <row r="67" spans="2:6" ht="12.75">
      <c r="B67" s="1081"/>
      <c r="C67" s="1081"/>
      <c r="D67" s="1081"/>
      <c r="E67" s="1081"/>
      <c r="F67" s="1081"/>
    </row>
    <row r="68" spans="2:6" ht="12.75">
      <c r="B68" s="1081"/>
      <c r="C68" s="1081"/>
      <c r="D68" s="1081"/>
      <c r="E68" s="1081"/>
      <c r="F68" s="1081"/>
    </row>
    <row r="69" spans="2:6" ht="12.75">
      <c r="B69" s="1081"/>
      <c r="C69" s="1081"/>
      <c r="D69" s="1081"/>
      <c r="E69" s="1081"/>
      <c r="F69" s="1081"/>
    </row>
    <row r="70" spans="2:6" ht="12.75">
      <c r="B70" s="1081"/>
      <c r="C70" s="1081"/>
      <c r="D70" s="1081"/>
      <c r="E70" s="1081"/>
      <c r="F70" s="1081"/>
    </row>
    <row r="71" spans="2:6" ht="12.75">
      <c r="B71" s="1081"/>
      <c r="C71" s="1081"/>
      <c r="D71" s="1081"/>
      <c r="E71" s="1081"/>
      <c r="F71" s="1081"/>
    </row>
    <row r="72" spans="2:6" ht="12.75">
      <c r="B72" s="1081"/>
      <c r="C72" s="1081"/>
      <c r="D72" s="1081"/>
      <c r="E72" s="1081"/>
      <c r="F72" s="1081"/>
    </row>
    <row r="73" spans="2:6" ht="12.75">
      <c r="B73" s="1081"/>
      <c r="C73" s="1081"/>
      <c r="D73" s="1081"/>
      <c r="E73" s="1081"/>
      <c r="F73" s="1081"/>
    </row>
    <row r="74" spans="2:6" ht="12.75">
      <c r="B74" s="1081"/>
      <c r="C74" s="1081"/>
      <c r="D74" s="1081"/>
      <c r="E74" s="1081"/>
      <c r="F74" s="1081"/>
    </row>
    <row r="75" spans="2:6" ht="12.75">
      <c r="B75" s="1081"/>
      <c r="C75" s="1081"/>
      <c r="D75" s="1081"/>
      <c r="E75" s="1081"/>
      <c r="F75" s="1081"/>
    </row>
    <row r="76" spans="2:6" ht="12.75">
      <c r="B76" s="1081"/>
      <c r="C76" s="1081"/>
      <c r="D76" s="1081"/>
      <c r="E76" s="1081"/>
      <c r="F76" s="1081"/>
    </row>
    <row r="77" spans="2:6" ht="12.75">
      <c r="B77" s="1081"/>
      <c r="C77" s="1081"/>
      <c r="D77" s="1081"/>
      <c r="E77" s="1081"/>
      <c r="F77" s="1081"/>
    </row>
    <row r="78" spans="2:6" ht="12.75">
      <c r="B78" s="1081"/>
      <c r="C78" s="1081"/>
      <c r="D78" s="1081"/>
      <c r="E78" s="1081"/>
      <c r="F78" s="1081"/>
    </row>
    <row r="79" spans="2:6" ht="12.75">
      <c r="B79" s="1081"/>
      <c r="C79" s="1081"/>
      <c r="D79" s="1081"/>
      <c r="E79" s="1081"/>
      <c r="F79" s="1081"/>
    </row>
    <row r="80" spans="2:6" ht="12.75">
      <c r="B80" s="1081"/>
      <c r="C80" s="1081"/>
      <c r="D80" s="1081"/>
      <c r="E80" s="1081"/>
      <c r="F80" s="1081"/>
    </row>
    <row r="81" spans="2:6" ht="12.75">
      <c r="B81" s="1081"/>
      <c r="C81" s="1081"/>
      <c r="D81" s="1081"/>
      <c r="E81" s="1081"/>
      <c r="F81" s="1081"/>
    </row>
    <row r="82" spans="2:6" ht="12.75">
      <c r="B82" s="1081"/>
      <c r="C82" s="1081"/>
      <c r="D82" s="1081"/>
      <c r="E82" s="1081"/>
      <c r="F82" s="1081"/>
    </row>
    <row r="83" spans="2:6" ht="12.75">
      <c r="B83" s="1081"/>
      <c r="C83" s="1081"/>
      <c r="D83" s="1081"/>
      <c r="E83" s="1081"/>
      <c r="F83" s="1081"/>
    </row>
    <row r="84" spans="2:6" ht="12.75">
      <c r="B84" s="1081"/>
      <c r="C84" s="1081"/>
      <c r="D84" s="1081"/>
      <c r="E84" s="1081"/>
      <c r="F84" s="1081"/>
    </row>
    <row r="85" spans="2:6" ht="12.75">
      <c r="B85" s="1081"/>
      <c r="C85" s="1081"/>
      <c r="D85" s="1081"/>
      <c r="E85" s="1081"/>
      <c r="F85" s="1081"/>
    </row>
    <row r="86" spans="2:6" ht="12.75">
      <c r="B86" s="1081"/>
      <c r="C86" s="1081"/>
      <c r="D86" s="1081"/>
      <c r="E86" s="1081"/>
      <c r="F86" s="1081"/>
    </row>
    <row r="87" spans="2:6" ht="12.75">
      <c r="B87" s="1081"/>
      <c r="C87" s="1081"/>
      <c r="D87" s="1081"/>
      <c r="E87" s="1081"/>
      <c r="F87" s="1081"/>
    </row>
  </sheetData>
  <sheetProtection password="EE7C" sheet="1"/>
  <mergeCells count="1">
    <mergeCell ref="A6:F6"/>
  </mergeCells>
  <printOptions/>
  <pageMargins left="0.5" right="0.5" top="0.5" bottom="1" header="0.5" footer="0.5"/>
  <pageSetup fitToHeight="1" fitToWidth="1" horizontalDpi="600" verticalDpi="600" orientation="portrait" scale="69" r:id="rId1"/>
  <headerFooter alignWithMargins="0">
    <oddFooter>&amp;LDSHS 23-003 &amp;C31&amp;RSchedule 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44"/>
  <sheetViews>
    <sheetView zoomScale="80" zoomScaleNormal="80" zoomScalePageLayoutView="0" workbookViewId="0" topLeftCell="A1">
      <selection activeCell="E2" sqref="E2"/>
    </sheetView>
  </sheetViews>
  <sheetFormatPr defaultColWidth="21.00390625" defaultRowHeight="12.75"/>
  <cols>
    <col min="1" max="1" width="11.28125" style="1770" customWidth="1"/>
    <col min="2" max="2" width="35.57421875" style="1770" customWidth="1"/>
    <col min="3" max="3" width="50.140625" style="1770" customWidth="1"/>
    <col min="4" max="4" width="16.00390625" style="1770" customWidth="1"/>
    <col min="5" max="5" width="26.140625" style="1770" customWidth="1"/>
    <col min="6" max="6" width="33.140625" style="1770" customWidth="1"/>
    <col min="7" max="7" width="13.8515625" style="1771" customWidth="1"/>
    <col min="8" max="8" width="13.7109375" style="1770" customWidth="1"/>
    <col min="9" max="9" width="35.28125" style="1770" customWidth="1"/>
    <col min="10" max="10" width="45.7109375" style="1770" customWidth="1"/>
    <col min="11" max="11" width="18.28125" style="1770" customWidth="1"/>
    <col min="12" max="16384" width="21.00390625" style="1772" customWidth="1"/>
  </cols>
  <sheetData>
    <row r="1" spans="4:19" s="956" customFormat="1" ht="18.75">
      <c r="D1" s="1453" t="s">
        <v>265</v>
      </c>
      <c r="E1" s="1777">
        <f>_C000027</f>
        <v>0</v>
      </c>
      <c r="F1" s="1452"/>
      <c r="G1" s="1778"/>
      <c r="H1" s="1800"/>
      <c r="I1" s="1778"/>
      <c r="Q1" s="1851" t="s">
        <v>1095</v>
      </c>
      <c r="R1" s="1855" t="s">
        <v>1101</v>
      </c>
      <c r="S1" s="1851" t="s">
        <v>191</v>
      </c>
    </row>
    <row r="2" spans="4:19" s="956" customFormat="1" ht="19.5" thickBot="1">
      <c r="D2" s="1453" t="s">
        <v>266</v>
      </c>
      <c r="E2" s="1779">
        <f>+Schedule_A!$I$8</f>
        <v>0</v>
      </c>
      <c r="F2" s="1776" t="str">
        <f>Schedule_A!A3</f>
        <v>NURSING FACILITY 2019 COST REPORT</v>
      </c>
      <c r="G2" s="1778"/>
      <c r="H2" s="1452"/>
      <c r="I2" s="1452"/>
      <c r="J2" s="1184"/>
      <c r="Q2" s="1852" t="s">
        <v>1099</v>
      </c>
      <c r="R2" s="1856" t="s">
        <v>1102</v>
      </c>
      <c r="S2" s="1852" t="s">
        <v>545</v>
      </c>
    </row>
    <row r="3" spans="1:19" s="956" customFormat="1" ht="64.5" customHeight="1">
      <c r="A3" s="1882" t="s">
        <v>1042</v>
      </c>
      <c r="B3" s="1882"/>
      <c r="C3" s="1882"/>
      <c r="D3" s="1882"/>
      <c r="E3" s="1882"/>
      <c r="F3" s="1882"/>
      <c r="G3" s="1882"/>
      <c r="H3" s="1882"/>
      <c r="I3" s="1882"/>
      <c r="J3" s="1882"/>
      <c r="K3" s="1882"/>
      <c r="Q3" s="1852" t="s">
        <v>1096</v>
      </c>
      <c r="S3" s="1852" t="s">
        <v>1104</v>
      </c>
    </row>
    <row r="4" spans="4:19" s="956" customFormat="1" ht="19.5" thickBot="1">
      <c r="D4" s="1453"/>
      <c r="E4" s="1440"/>
      <c r="F4" s="1776"/>
      <c r="G4" s="1778"/>
      <c r="H4" s="1452"/>
      <c r="I4" s="1452"/>
      <c r="J4" s="1184"/>
      <c r="Q4" s="1852" t="s">
        <v>1097</v>
      </c>
      <c r="S4" s="1853" t="s">
        <v>1098</v>
      </c>
    </row>
    <row r="5" spans="1:17" s="956" customFormat="1" ht="40.5" customHeight="1" thickBot="1">
      <c r="A5" s="1897" t="s">
        <v>1041</v>
      </c>
      <c r="B5" s="1897"/>
      <c r="C5" s="1897"/>
      <c r="D5" s="1897"/>
      <c r="E5" s="1897"/>
      <c r="F5" s="1897"/>
      <c r="G5" s="1897"/>
      <c r="H5" s="1897"/>
      <c r="I5" s="1897"/>
      <c r="J5" s="1897"/>
      <c r="K5" s="1897"/>
      <c r="Q5" s="1853" t="s">
        <v>1098</v>
      </c>
    </row>
    <row r="6" spans="1:11" s="956" customFormat="1" ht="105.75" customHeight="1">
      <c r="A6" s="1897" t="s">
        <v>1039</v>
      </c>
      <c r="B6" s="1897"/>
      <c r="C6" s="1897"/>
      <c r="D6" s="1897"/>
      <c r="E6" s="1897"/>
      <c r="F6" s="1897"/>
      <c r="G6" s="1897"/>
      <c r="H6" s="1897"/>
      <c r="I6" s="1897"/>
      <c r="J6" s="1897"/>
      <c r="K6" s="1897"/>
    </row>
    <row r="7" spans="1:11" s="956" customFormat="1" ht="74.25" customHeight="1">
      <c r="A7" s="1897" t="s">
        <v>1040</v>
      </c>
      <c r="B7" s="1897"/>
      <c r="C7" s="1897"/>
      <c r="D7" s="1897"/>
      <c r="E7" s="1897"/>
      <c r="F7" s="1897"/>
      <c r="G7" s="1897"/>
      <c r="H7" s="1897"/>
      <c r="I7" s="1897"/>
      <c r="J7" s="1897"/>
      <c r="K7" s="1897"/>
    </row>
    <row r="8" spans="4:9" s="1422" customFormat="1" ht="18.75">
      <c r="D8" s="1455"/>
      <c r="E8" s="1780"/>
      <c r="F8" s="1459"/>
      <c r="G8" s="1778"/>
      <c r="H8" s="1801"/>
      <c r="I8" s="1802"/>
    </row>
    <row r="9" spans="1:11" ht="15.75" thickBot="1">
      <c r="A9" s="1803"/>
      <c r="B9" s="1803"/>
      <c r="C9" s="1803"/>
      <c r="D9" s="1803"/>
      <c r="E9" s="1803"/>
      <c r="F9" s="1803"/>
      <c r="G9" s="1804"/>
      <c r="H9" s="1803"/>
      <c r="I9" s="1803"/>
      <c r="J9" s="1803"/>
      <c r="K9" s="1803"/>
    </row>
    <row r="10" spans="1:11" s="1166" customFormat="1" ht="193.5" customHeight="1" thickBot="1">
      <c r="A10" s="1762"/>
      <c r="B10" s="1850" t="s">
        <v>1100</v>
      </c>
      <c r="C10" s="1762" t="s">
        <v>1029</v>
      </c>
      <c r="D10" s="1805" t="s">
        <v>1018</v>
      </c>
      <c r="E10" s="1805" t="s">
        <v>1103</v>
      </c>
      <c r="F10" s="1805" t="s">
        <v>1030</v>
      </c>
      <c r="G10" s="1806" t="s">
        <v>1019</v>
      </c>
      <c r="H10" s="1807" t="s">
        <v>1020</v>
      </c>
      <c r="I10" s="1808" t="s">
        <v>1021</v>
      </c>
      <c r="J10" s="1808" t="s">
        <v>1022</v>
      </c>
      <c r="K10" s="1808" t="s">
        <v>1023</v>
      </c>
    </row>
    <row r="11" spans="1:11" s="1166" customFormat="1" ht="66.75" customHeight="1" thickBot="1" thickTop="1">
      <c r="A11" s="1763" t="s">
        <v>2</v>
      </c>
      <c r="B11" s="1857"/>
      <c r="C11" s="1764" t="s">
        <v>1034</v>
      </c>
      <c r="D11" s="1854"/>
      <c r="E11" s="1376"/>
      <c r="F11" s="1376"/>
      <c r="G11" s="1811">
        <f>_C000443</f>
        <v>0</v>
      </c>
      <c r="H11" s="1812">
        <f>_M000008</f>
        <v>0</v>
      </c>
      <c r="I11" s="1812">
        <f>_M000001</f>
        <v>0</v>
      </c>
      <c r="J11" s="1812">
        <f>_M000600</f>
        <v>0</v>
      </c>
      <c r="K11" s="1812">
        <f>_M000601</f>
        <v>0</v>
      </c>
    </row>
    <row r="12" spans="1:13" s="1166" customFormat="1" ht="88.5" customHeight="1" thickBot="1">
      <c r="A12" s="1765" t="s">
        <v>3</v>
      </c>
      <c r="B12" s="1809"/>
      <c r="C12" s="1766" t="s">
        <v>1035</v>
      </c>
      <c r="D12" s="1809"/>
      <c r="E12" s="1809"/>
      <c r="F12" s="1809"/>
      <c r="G12" s="1376"/>
      <c r="H12" s="1376"/>
      <c r="I12" s="1376"/>
      <c r="J12" s="1376"/>
      <c r="K12" s="1376"/>
      <c r="M12" s="1767"/>
    </row>
    <row r="13" spans="1:13" s="1166" customFormat="1" ht="84" customHeight="1" thickBot="1">
      <c r="A13" s="1763" t="s">
        <v>1024</v>
      </c>
      <c r="B13" s="1809"/>
      <c r="C13" s="1766" t="s">
        <v>1036</v>
      </c>
      <c r="D13" s="1809"/>
      <c r="E13" s="1809"/>
      <c r="F13" s="1809"/>
      <c r="G13" s="1376"/>
      <c r="H13" s="1376"/>
      <c r="I13" s="1376"/>
      <c r="J13" s="1376"/>
      <c r="K13" s="1376"/>
      <c r="M13" s="1767"/>
    </row>
    <row r="14" spans="1:13" s="1166" customFormat="1" ht="66.75" customHeight="1" thickBot="1">
      <c r="A14" s="1765" t="s">
        <v>1025</v>
      </c>
      <c r="B14" s="1809"/>
      <c r="C14" s="1766" t="s">
        <v>1037</v>
      </c>
      <c r="D14" s="1809"/>
      <c r="E14" s="1809"/>
      <c r="F14" s="1809"/>
      <c r="G14" s="1376"/>
      <c r="H14" s="1809"/>
      <c r="I14" s="1376"/>
      <c r="J14" s="1376"/>
      <c r="K14" s="1376"/>
      <c r="M14" s="1767"/>
    </row>
    <row r="15" spans="1:13" s="1166" customFormat="1" ht="66.75" customHeight="1" thickBot="1">
      <c r="A15" s="1763" t="s">
        <v>1026</v>
      </c>
      <c r="B15" s="1809"/>
      <c r="C15" s="1766" t="s">
        <v>1038</v>
      </c>
      <c r="D15" s="1809"/>
      <c r="E15" s="1809"/>
      <c r="F15" s="1809"/>
      <c r="G15" s="1376"/>
      <c r="H15" s="1809"/>
      <c r="I15" s="1376"/>
      <c r="J15" s="1376"/>
      <c r="K15" s="1376"/>
      <c r="M15" s="1767"/>
    </row>
    <row r="16" spans="1:11" s="1768" customFormat="1" ht="49.5" customHeight="1" thickBot="1">
      <c r="A16" s="1765" t="s">
        <v>1027</v>
      </c>
      <c r="B16" s="1809"/>
      <c r="C16" s="1766" t="s">
        <v>1028</v>
      </c>
      <c r="D16" s="1810"/>
      <c r="E16" s="1810"/>
      <c r="F16" s="1810"/>
      <c r="G16" s="1811" t="e">
        <f>ROUND(_C904168/SUM(G11:G15),2)</f>
        <v>#DIV/0!</v>
      </c>
      <c r="H16" s="1810"/>
      <c r="I16" s="1810"/>
      <c r="J16" s="1810"/>
      <c r="K16" s="1810"/>
    </row>
    <row r="17" spans="1:2" ht="15" customHeight="1">
      <c r="A17" s="1769"/>
      <c r="B17" s="1769"/>
    </row>
    <row r="18" spans="1:11" ht="15" customHeight="1">
      <c r="A18" s="1773"/>
      <c r="B18" s="1773"/>
      <c r="C18" s="1773"/>
      <c r="D18"/>
      <c r="E18"/>
      <c r="F18" s="1773"/>
      <c r="G18" s="1774"/>
      <c r="H18" s="1773"/>
      <c r="I18" s="1773"/>
      <c r="J18" s="1773"/>
      <c r="K18" s="1773"/>
    </row>
    <row r="19" spans="1:11" ht="15" customHeight="1">
      <c r="A19" s="1773"/>
      <c r="B19" s="1773"/>
      <c r="C19" s="1775"/>
      <c r="D19"/>
      <c r="E19"/>
      <c r="F19" s="1775"/>
      <c r="G19" s="1774"/>
      <c r="H19" s="1773"/>
      <c r="I19" s="1773"/>
      <c r="J19" s="1773"/>
      <c r="K19" s="1773"/>
    </row>
    <row r="20" spans="4:5" ht="15" customHeight="1">
      <c r="D20"/>
      <c r="E20"/>
    </row>
    <row r="21" spans="4:5" ht="15" customHeight="1">
      <c r="D21"/>
      <c r="E21"/>
    </row>
    <row r="22" spans="4:5" ht="15" customHeight="1">
      <c r="D22"/>
      <c r="E22"/>
    </row>
    <row r="23" spans="4:5" ht="15">
      <c r="D23"/>
      <c r="E23"/>
    </row>
    <row r="24" spans="4:5" ht="15">
      <c r="D24"/>
      <c r="E24"/>
    </row>
    <row r="25" spans="4:5" ht="15">
      <c r="D25"/>
      <c r="E25"/>
    </row>
    <row r="26" spans="4:5" ht="15">
      <c r="D26"/>
      <c r="E26"/>
    </row>
    <row r="27" spans="4:5" ht="15">
      <c r="D27"/>
      <c r="E27"/>
    </row>
    <row r="28" spans="4:5" ht="15">
      <c r="D28"/>
      <c r="E28"/>
    </row>
    <row r="29" spans="4:5" ht="15">
      <c r="D29"/>
      <c r="E29"/>
    </row>
    <row r="30" spans="4:5" ht="15">
      <c r="D30"/>
      <c r="E30"/>
    </row>
    <row r="31" spans="4:5" ht="15">
      <c r="D31"/>
      <c r="E31"/>
    </row>
    <row r="32" spans="4:5" ht="15">
      <c r="D32"/>
      <c r="E32"/>
    </row>
    <row r="33" spans="4:5" ht="15">
      <c r="D33"/>
      <c r="E33"/>
    </row>
    <row r="34" spans="4:5" ht="15">
      <c r="D34"/>
      <c r="E34"/>
    </row>
    <row r="35" spans="4:5" ht="15">
      <c r="D35"/>
      <c r="E35"/>
    </row>
    <row r="36" spans="4:5" ht="15">
      <c r="D36"/>
      <c r="E36"/>
    </row>
    <row r="37" spans="4:5" ht="15">
      <c r="D37"/>
      <c r="E37"/>
    </row>
    <row r="38" spans="4:5" ht="15">
      <c r="D38"/>
      <c r="E38"/>
    </row>
    <row r="39" spans="4:5" ht="15">
      <c r="D39"/>
      <c r="E39"/>
    </row>
    <row r="40" spans="4:5" ht="15">
      <c r="D40"/>
      <c r="E40"/>
    </row>
    <row r="41" spans="4:5" ht="15">
      <c r="D41"/>
      <c r="E41"/>
    </row>
    <row r="42" spans="4:5" ht="15">
      <c r="D42"/>
      <c r="E42"/>
    </row>
    <row r="43" spans="4:5" ht="15">
      <c r="D43"/>
      <c r="E43"/>
    </row>
    <row r="44" spans="4:5" ht="15">
      <c r="D44"/>
      <c r="E44"/>
    </row>
  </sheetData>
  <sheetProtection password="EE7C" sheet="1"/>
  <mergeCells count="4">
    <mergeCell ref="A3:K3"/>
    <mergeCell ref="A6:K6"/>
    <mergeCell ref="A7:K7"/>
    <mergeCell ref="A5:K5"/>
  </mergeCells>
  <dataValidations count="4">
    <dataValidation type="list" allowBlank="1" showInputMessage="1" showErrorMessage="1" promptTitle="Column A" prompt="Please input State, Tribal, County, Public Hospital, or NA" errorTitle="Column A" error="Please input State, Tribal, County, Public Hospital, or NA" sqref="B11">
      <formula1>$Q$1:$Q$5</formula1>
    </dataValidation>
    <dataValidation type="list" allowBlank="1" showInputMessage="1" showErrorMessage="1" promptTitle="Column 1" prompt="Please input Yes or No" errorTitle="Column 1" error="Input Yes or No" sqref="D11">
      <formula1>$R$1:$R$2</formula1>
    </dataValidation>
    <dataValidation type="list" allowBlank="1" showInputMessage="1" showErrorMessage="1" promptTitle="Column 2" prompt="Please input A, B, C or NA" errorTitle="Column 2" error="Please input A, B, C or NA" sqref="E11">
      <formula1>$S$1:$S$4</formula1>
    </dataValidation>
    <dataValidation type="list" allowBlank="1" showInputMessage="1" showErrorMessage="1" promptTitle="Column 4" prompt="Please input Yes or No" errorTitle="Column 4" error="Please input Yes or No" sqref="F11">
      <formula1>$R$1:$R$2</formula1>
    </dataValidation>
  </dataValidations>
  <printOptions horizontalCentered="1"/>
  <pageMargins left="0.2" right="0.2" top="0.5" bottom="0.5" header="0.3" footer="0.3"/>
  <pageSetup fitToHeight="1" fitToWidth="1" horizontalDpi="300" verticalDpi="300" orientation="landscape" scale="51" r:id="rId1"/>
</worksheet>
</file>

<file path=xl/worksheets/sheet19.xml><?xml version="1.0" encoding="utf-8"?>
<worksheet xmlns="http://schemas.openxmlformats.org/spreadsheetml/2006/main" xmlns:r="http://schemas.openxmlformats.org/officeDocument/2006/relationships">
  <sheetPr>
    <pageSetUpPr fitToPage="1"/>
  </sheetPr>
  <dimension ref="A1:J40"/>
  <sheetViews>
    <sheetView zoomScale="80" zoomScaleNormal="80" zoomScalePageLayoutView="30" workbookViewId="0" topLeftCell="A1">
      <selection activeCell="H1" sqref="H1"/>
    </sheetView>
  </sheetViews>
  <sheetFormatPr defaultColWidth="9.140625" defaultRowHeight="12.75"/>
  <cols>
    <col min="1" max="1" width="11.140625" style="865" customWidth="1"/>
    <col min="2" max="2" width="13.7109375" style="865" customWidth="1"/>
    <col min="3" max="3" width="11.421875" style="865" customWidth="1"/>
    <col min="4" max="4" width="55.57421875" style="865" customWidth="1"/>
    <col min="5" max="5" width="23.00390625" style="865" customWidth="1"/>
    <col min="6" max="6" width="38.8515625" style="865" bestFit="1" customWidth="1"/>
    <col min="7" max="7" width="34.57421875" style="865" customWidth="1"/>
    <col min="8" max="8" width="21.00390625" style="865" customWidth="1"/>
    <col min="9" max="9" width="20.28125" style="865" customWidth="1"/>
    <col min="10" max="10" width="22.8515625" style="865" customWidth="1"/>
    <col min="11" max="11" width="9.140625" style="865" customWidth="1"/>
    <col min="12" max="12" width="15.28125" style="865" customWidth="1"/>
    <col min="13" max="16384" width="9.140625" style="865" customWidth="1"/>
  </cols>
  <sheetData>
    <row r="1" spans="1:8" ht="19.5" customHeight="1" thickBot="1">
      <c r="A1" s="1331"/>
      <c r="B1" s="866" t="s">
        <v>265</v>
      </c>
      <c r="C1" s="929">
        <f>Schedule_B!D1</f>
        <v>0</v>
      </c>
      <c r="E1" s="868"/>
      <c r="G1" s="869" t="s">
        <v>640</v>
      </c>
      <c r="H1" s="1377"/>
    </row>
    <row r="2" spans="2:5" ht="19.5" customHeight="1">
      <c r="B2" s="866" t="s">
        <v>266</v>
      </c>
      <c r="C2" s="867">
        <f>_M000002</f>
        <v>0</v>
      </c>
      <c r="D2" s="865" t="str">
        <f>Schedule_A!A3</f>
        <v>NURSING FACILITY 2019 COST REPORT</v>
      </c>
      <c r="E2" s="868"/>
    </row>
    <row r="3" spans="1:10" ht="46.5" customHeight="1">
      <c r="A3" s="1899" t="s">
        <v>1078</v>
      </c>
      <c r="B3" s="1899"/>
      <c r="C3" s="1899"/>
      <c r="D3" s="1899"/>
      <c r="E3" s="1899"/>
      <c r="F3" s="1899"/>
      <c r="G3" s="1899"/>
      <c r="H3" s="1899"/>
      <c r="I3" s="1899"/>
      <c r="J3" s="1899"/>
    </row>
    <row r="4" spans="1:10" ht="46.5" customHeight="1">
      <c r="A4" s="1790"/>
      <c r="B4" s="1790"/>
      <c r="C4" s="1790"/>
      <c r="D4" s="1790"/>
      <c r="E4" s="1790"/>
      <c r="F4" s="1790"/>
      <c r="G4" s="1790"/>
      <c r="H4" s="1790"/>
      <c r="I4" s="1790"/>
      <c r="J4" s="1790"/>
    </row>
    <row r="5" spans="2:7" ht="13.5" customHeight="1" thickBot="1">
      <c r="B5" s="1830"/>
      <c r="C5" s="1831"/>
      <c r="D5" s="1832"/>
      <c r="E5" s="1832"/>
      <c r="F5" s="1832"/>
      <c r="G5" s="1832"/>
    </row>
    <row r="6" spans="2:10" ht="7.5" customHeight="1">
      <c r="B6" s="870"/>
      <c r="C6" s="871"/>
      <c r="D6" s="986"/>
      <c r="E6" s="872"/>
      <c r="F6" s="872"/>
      <c r="G6" s="984"/>
      <c r="H6" s="1781"/>
      <c r="I6" s="1787"/>
      <c r="J6" s="1791"/>
    </row>
    <row r="7" spans="2:10" ht="3" customHeight="1">
      <c r="B7" s="873"/>
      <c r="C7" s="874"/>
      <c r="D7" s="987"/>
      <c r="F7" s="876"/>
      <c r="G7" s="983"/>
      <c r="H7" s="876"/>
      <c r="I7" s="1788"/>
      <c r="J7" s="1792"/>
    </row>
    <row r="8" spans="2:10" ht="94.5">
      <c r="B8" s="873" t="s">
        <v>539</v>
      </c>
      <c r="C8" s="874"/>
      <c r="D8" s="987" t="s">
        <v>55</v>
      </c>
      <c r="E8" s="982" t="s">
        <v>1147</v>
      </c>
      <c r="F8" s="983" t="s">
        <v>1146</v>
      </c>
      <c r="G8" s="983" t="s">
        <v>1149</v>
      </c>
      <c r="H8" s="1782" t="s">
        <v>1148</v>
      </c>
      <c r="I8" s="1788"/>
      <c r="J8" s="1793" t="s">
        <v>1127</v>
      </c>
    </row>
    <row r="9" spans="2:10" ht="39">
      <c r="B9" s="873" t="s">
        <v>543</v>
      </c>
      <c r="C9" s="875" t="s">
        <v>223</v>
      </c>
      <c r="D9" s="988"/>
      <c r="E9" s="877" t="s">
        <v>1031</v>
      </c>
      <c r="F9" s="877" t="s">
        <v>56</v>
      </c>
      <c r="G9" s="985" t="s">
        <v>1031</v>
      </c>
      <c r="H9" s="1783" t="s">
        <v>57</v>
      </c>
      <c r="I9" s="1788"/>
      <c r="J9" s="1794" t="s">
        <v>1043</v>
      </c>
    </row>
    <row r="10" spans="2:10" ht="16.5" customHeight="1">
      <c r="B10" s="878"/>
      <c r="C10" s="879" t="s">
        <v>473</v>
      </c>
      <c r="D10" s="879" t="s">
        <v>474</v>
      </c>
      <c r="E10" s="879" t="s">
        <v>475</v>
      </c>
      <c r="F10" s="879" t="s">
        <v>476</v>
      </c>
      <c r="G10" s="879" t="s">
        <v>477</v>
      </c>
      <c r="H10" s="879" t="s">
        <v>478</v>
      </c>
      <c r="I10" s="1788"/>
      <c r="J10" s="1795" t="s">
        <v>479</v>
      </c>
    </row>
    <row r="11" spans="2:10" ht="16.5" customHeight="1">
      <c r="B11" s="880">
        <v>1</v>
      </c>
      <c r="C11" s="881" t="s">
        <v>227</v>
      </c>
      <c r="D11" s="882"/>
      <c r="E11" s="883"/>
      <c r="F11" s="884">
        <f aca="true" t="shared" si="0" ref="F11:F22">ROUND(D11*E11,0)</f>
        <v>0</v>
      </c>
      <c r="G11" s="883"/>
      <c r="H11" s="1784">
        <f aca="true" t="shared" si="1" ref="H11:H22">G11-F11</f>
        <v>0</v>
      </c>
      <c r="I11" s="1788"/>
      <c r="J11" s="1798"/>
    </row>
    <row r="12" spans="2:10" ht="16.5" customHeight="1">
      <c r="B12" s="880">
        <v>2</v>
      </c>
      <c r="C12" s="885" t="s">
        <v>228</v>
      </c>
      <c r="D12" s="886"/>
      <c r="E12" s="883"/>
      <c r="F12" s="884">
        <f t="shared" si="0"/>
        <v>0</v>
      </c>
      <c r="G12" s="883"/>
      <c r="H12" s="1784">
        <f t="shared" si="1"/>
        <v>0</v>
      </c>
      <c r="I12" s="1788"/>
      <c r="J12" s="1798"/>
    </row>
    <row r="13" spans="2:10" ht="16.5" customHeight="1">
      <c r="B13" s="880">
        <v>3</v>
      </c>
      <c r="C13" s="881" t="s">
        <v>229</v>
      </c>
      <c r="D13" s="882"/>
      <c r="E13" s="883"/>
      <c r="F13" s="884">
        <f t="shared" si="0"/>
        <v>0</v>
      </c>
      <c r="G13" s="883"/>
      <c r="H13" s="1784">
        <f t="shared" si="1"/>
        <v>0</v>
      </c>
      <c r="I13" s="1788"/>
      <c r="J13" s="1798"/>
    </row>
    <row r="14" spans="2:10" ht="16.5" customHeight="1">
      <c r="B14" s="880">
        <v>4</v>
      </c>
      <c r="C14" s="881" t="s">
        <v>230</v>
      </c>
      <c r="D14" s="882"/>
      <c r="E14" s="883"/>
      <c r="F14" s="884">
        <f t="shared" si="0"/>
        <v>0</v>
      </c>
      <c r="G14" s="883"/>
      <c r="H14" s="1784">
        <f t="shared" si="1"/>
        <v>0</v>
      </c>
      <c r="I14" s="1788"/>
      <c r="J14" s="1798"/>
    </row>
    <row r="15" spans="2:10" ht="16.5" customHeight="1">
      <c r="B15" s="880">
        <v>5</v>
      </c>
      <c r="C15" s="881" t="s">
        <v>231</v>
      </c>
      <c r="D15" s="882"/>
      <c r="E15" s="883"/>
      <c r="F15" s="884">
        <f t="shared" si="0"/>
        <v>0</v>
      </c>
      <c r="G15" s="883"/>
      <c r="H15" s="1784">
        <f t="shared" si="1"/>
        <v>0</v>
      </c>
      <c r="I15" s="1788"/>
      <c r="J15" s="1798"/>
    </row>
    <row r="16" spans="2:10" ht="16.5" customHeight="1">
      <c r="B16" s="880">
        <v>6</v>
      </c>
      <c r="C16" s="881" t="s">
        <v>232</v>
      </c>
      <c r="D16" s="882"/>
      <c r="E16" s="887"/>
      <c r="F16" s="884">
        <f t="shared" si="0"/>
        <v>0</v>
      </c>
      <c r="G16" s="887"/>
      <c r="H16" s="1784">
        <f t="shared" si="1"/>
        <v>0</v>
      </c>
      <c r="I16" s="1788"/>
      <c r="J16" s="1798"/>
    </row>
    <row r="17" spans="2:10" ht="16.5" customHeight="1">
      <c r="B17" s="880">
        <v>7</v>
      </c>
      <c r="C17" s="881" t="s">
        <v>233</v>
      </c>
      <c r="D17" s="882"/>
      <c r="E17" s="883"/>
      <c r="F17" s="884">
        <f t="shared" si="0"/>
        <v>0</v>
      </c>
      <c r="G17" s="883"/>
      <c r="H17" s="1784">
        <f t="shared" si="1"/>
        <v>0</v>
      </c>
      <c r="I17" s="1788"/>
      <c r="J17" s="1798"/>
    </row>
    <row r="18" spans="2:10" ht="16.5" customHeight="1">
      <c r="B18" s="880">
        <v>8</v>
      </c>
      <c r="C18" s="881" t="s">
        <v>234</v>
      </c>
      <c r="D18" s="886"/>
      <c r="E18" s="883"/>
      <c r="F18" s="884">
        <f t="shared" si="0"/>
        <v>0</v>
      </c>
      <c r="G18" s="883"/>
      <c r="H18" s="1784">
        <f t="shared" si="1"/>
        <v>0</v>
      </c>
      <c r="I18" s="1788"/>
      <c r="J18" s="1798"/>
    </row>
    <row r="19" spans="2:10" ht="16.5" customHeight="1">
      <c r="B19" s="880">
        <v>9</v>
      </c>
      <c r="C19" s="881" t="s">
        <v>235</v>
      </c>
      <c r="D19" s="886"/>
      <c r="E19" s="883"/>
      <c r="F19" s="884">
        <f t="shared" si="0"/>
        <v>0</v>
      </c>
      <c r="G19" s="883"/>
      <c r="H19" s="1784">
        <f t="shared" si="1"/>
        <v>0</v>
      </c>
      <c r="I19" s="1788"/>
      <c r="J19" s="1798"/>
    </row>
    <row r="20" spans="2:10" ht="16.5" customHeight="1">
      <c r="B20" s="880">
        <v>10</v>
      </c>
      <c r="C20" s="881" t="s">
        <v>236</v>
      </c>
      <c r="D20" s="886"/>
      <c r="E20" s="883"/>
      <c r="F20" s="884">
        <f t="shared" si="0"/>
        <v>0</v>
      </c>
      <c r="G20" s="883"/>
      <c r="H20" s="1784">
        <f t="shared" si="1"/>
        <v>0</v>
      </c>
      <c r="I20" s="1788"/>
      <c r="J20" s="1798"/>
    </row>
    <row r="21" spans="2:10" ht="16.5" customHeight="1">
      <c r="B21" s="880">
        <v>11</v>
      </c>
      <c r="C21" s="881" t="s">
        <v>237</v>
      </c>
      <c r="D21" s="882"/>
      <c r="E21" s="883"/>
      <c r="F21" s="884">
        <f t="shared" si="0"/>
        <v>0</v>
      </c>
      <c r="G21" s="883"/>
      <c r="H21" s="1784">
        <f t="shared" si="1"/>
        <v>0</v>
      </c>
      <c r="I21" s="1788"/>
      <c r="J21" s="1798"/>
    </row>
    <row r="22" spans="2:10" ht="16.5" customHeight="1" thickBot="1">
      <c r="B22" s="888">
        <v>12</v>
      </c>
      <c r="C22" s="889" t="s">
        <v>238</v>
      </c>
      <c r="D22" s="890"/>
      <c r="E22" s="891"/>
      <c r="F22" s="892">
        <f t="shared" si="0"/>
        <v>0</v>
      </c>
      <c r="G22" s="891"/>
      <c r="H22" s="1785">
        <f t="shared" si="1"/>
        <v>0</v>
      </c>
      <c r="I22" s="1788"/>
      <c r="J22" s="1799"/>
    </row>
    <row r="23" spans="2:10" ht="16.5" customHeight="1" thickBot="1">
      <c r="B23" s="893"/>
      <c r="C23" s="893"/>
      <c r="I23" s="1788"/>
      <c r="J23" s="1796"/>
    </row>
    <row r="24" spans="2:10" ht="16.5" customHeight="1" thickBot="1">
      <c r="B24" s="894">
        <v>13</v>
      </c>
      <c r="C24" s="895" t="s">
        <v>186</v>
      </c>
      <c r="D24" s="896"/>
      <c r="E24" s="897">
        <f>SUM(E11:E22)</f>
        <v>0</v>
      </c>
      <c r="F24" s="897">
        <f>SUM(F11:F22)</f>
        <v>0</v>
      </c>
      <c r="G24" s="897">
        <f>SUM(G11:G22)</f>
        <v>0</v>
      </c>
      <c r="H24" s="1786">
        <f>SUM(H11:H22)</f>
        <v>0</v>
      </c>
      <c r="I24" s="1789"/>
      <c r="J24" s="1797">
        <f>SUM(J11:J22)</f>
        <v>0</v>
      </c>
    </row>
    <row r="25" spans="2:10" ht="16.5" customHeight="1" thickBot="1">
      <c r="B25" s="1839"/>
      <c r="C25" s="1830"/>
      <c r="D25" s="1840"/>
      <c r="E25" s="1840"/>
      <c r="F25" s="1840"/>
      <c r="G25" s="1840"/>
      <c r="H25" s="1841"/>
      <c r="I25" s="1841"/>
      <c r="J25" s="1841"/>
    </row>
    <row r="26" spans="1:10" ht="21" thickBot="1">
      <c r="A26" s="1790"/>
      <c r="B26" s="1900" t="s">
        <v>1079</v>
      </c>
      <c r="C26" s="1901"/>
      <c r="D26" s="1901"/>
      <c r="E26" s="1901"/>
      <c r="F26" s="1901"/>
      <c r="G26" s="1902"/>
      <c r="H26" s="1790"/>
      <c r="I26" s="1790"/>
      <c r="J26" s="1790"/>
    </row>
    <row r="27" spans="1:10" ht="28.5" customHeight="1" thickBot="1">
      <c r="A27" s="1790"/>
      <c r="B27" s="1843" t="s">
        <v>1053</v>
      </c>
      <c r="C27" s="1844" t="s">
        <v>976</v>
      </c>
      <c r="D27" s="1845" t="s">
        <v>1066</v>
      </c>
      <c r="E27" s="1846" t="s">
        <v>1065</v>
      </c>
      <c r="F27" s="1847" t="s">
        <v>1051</v>
      </c>
      <c r="G27" s="1848" t="s">
        <v>1052</v>
      </c>
      <c r="H27" s="1790"/>
      <c r="I27" s="1790"/>
      <c r="J27" s="1790"/>
    </row>
    <row r="28" spans="1:10" ht="13.5" customHeight="1">
      <c r="A28" s="1790"/>
      <c r="B28" s="1833">
        <v>12500</v>
      </c>
      <c r="C28" s="881">
        <v>4115721</v>
      </c>
      <c r="D28" s="881" t="s">
        <v>777</v>
      </c>
      <c r="E28" s="881" t="s">
        <v>1077</v>
      </c>
      <c r="F28" s="1835">
        <v>43191</v>
      </c>
      <c r="G28" s="1836">
        <v>523456</v>
      </c>
      <c r="H28" s="1790"/>
      <c r="I28" s="1790"/>
      <c r="J28" s="1790"/>
    </row>
    <row r="29" spans="1:10" ht="13.5" customHeight="1">
      <c r="A29" s="1790"/>
      <c r="B29" s="1833">
        <v>24600</v>
      </c>
      <c r="C29" s="881">
        <v>4114245</v>
      </c>
      <c r="D29" s="881" t="s">
        <v>800</v>
      </c>
      <c r="E29" s="881" t="s">
        <v>1077</v>
      </c>
      <c r="F29" s="1835">
        <v>40269</v>
      </c>
      <c r="G29" s="1836">
        <v>523456</v>
      </c>
      <c r="H29" s="1790"/>
      <c r="I29" s="1790"/>
      <c r="J29" s="1790"/>
    </row>
    <row r="30" spans="1:10" ht="13.5" customHeight="1">
      <c r="A30" s="1790"/>
      <c r="B30" s="1833">
        <v>35010</v>
      </c>
      <c r="C30" s="881">
        <v>4114670</v>
      </c>
      <c r="D30" s="881" t="s">
        <v>926</v>
      </c>
      <c r="E30" s="881" t="s">
        <v>1077</v>
      </c>
      <c r="F30" s="1835">
        <v>41791</v>
      </c>
      <c r="G30" s="1836">
        <v>523456</v>
      </c>
      <c r="H30" s="1790"/>
      <c r="I30" s="1790"/>
      <c r="J30" s="1790"/>
    </row>
    <row r="31" spans="1:10" ht="13.5" customHeight="1">
      <c r="A31" s="1790"/>
      <c r="B31" s="1833">
        <v>35900</v>
      </c>
      <c r="C31" s="881">
        <v>4112280</v>
      </c>
      <c r="D31" s="881" t="s">
        <v>907</v>
      </c>
      <c r="E31" s="881" t="s">
        <v>1077</v>
      </c>
      <c r="F31" s="1835">
        <v>35551</v>
      </c>
      <c r="G31" s="1836">
        <v>523456</v>
      </c>
      <c r="H31" s="1790"/>
      <c r="I31" s="1790"/>
      <c r="J31" s="1790"/>
    </row>
    <row r="32" spans="1:10" ht="13.5" customHeight="1">
      <c r="A32" s="1790"/>
      <c r="B32" s="1833">
        <v>40490</v>
      </c>
      <c r="C32" s="881">
        <v>4115051</v>
      </c>
      <c r="D32" s="881" t="s">
        <v>841</v>
      </c>
      <c r="E32" s="881" t="s">
        <v>1077</v>
      </c>
      <c r="F32" s="1835">
        <v>42027</v>
      </c>
      <c r="G32" s="1836">
        <v>523456</v>
      </c>
      <c r="H32" s="1790"/>
      <c r="I32" s="1790"/>
      <c r="J32" s="1790"/>
    </row>
    <row r="33" spans="2:7" ht="13.5" customHeight="1" thickBot="1">
      <c r="B33" s="1834">
        <v>40640</v>
      </c>
      <c r="C33" s="889">
        <v>4114328</v>
      </c>
      <c r="D33" s="889" t="s">
        <v>803</v>
      </c>
      <c r="E33" s="889" t="s">
        <v>1077</v>
      </c>
      <c r="F33" s="1837">
        <v>40269</v>
      </c>
      <c r="G33" s="1838">
        <v>523456</v>
      </c>
    </row>
    <row r="34" spans="2:7" ht="13.5" customHeight="1">
      <c r="B34" s="1830"/>
      <c r="C34" s="1830"/>
      <c r="D34" s="1830"/>
      <c r="E34" s="1830"/>
      <c r="F34" s="1842"/>
      <c r="G34" s="1842"/>
    </row>
    <row r="35" spans="2:7" ht="15.75">
      <c r="B35" s="1830"/>
      <c r="C35" s="1830"/>
      <c r="D35" s="1830"/>
      <c r="E35" s="1830"/>
      <c r="F35" s="1842"/>
      <c r="G35" s="1842"/>
    </row>
    <row r="36" spans="2:3" ht="16.5" customHeight="1">
      <c r="B36" s="898" t="s">
        <v>337</v>
      </c>
      <c r="C36" s="972" t="s">
        <v>1080</v>
      </c>
    </row>
    <row r="37" ht="16.5" customHeight="1"/>
    <row r="38" spans="2:3" ht="16.5" customHeight="1">
      <c r="B38" s="898" t="s">
        <v>338</v>
      </c>
      <c r="C38" s="972" t="str">
        <f>"Amount from Line 13, Column 6 only must agree with Schedule O, Line "&amp;'Schedule_O '!B68&amp;"."</f>
        <v>Amount from Line 13, Column 6 only must agree with Schedule O, Line 41.</v>
      </c>
    </row>
    <row r="39" spans="2:8" ht="108.75" customHeight="1">
      <c r="B39" s="1643" t="s">
        <v>339</v>
      </c>
      <c r="C39" s="1898" t="s">
        <v>1128</v>
      </c>
      <c r="D39" s="1898"/>
      <c r="E39" s="1898"/>
      <c r="F39" s="1898"/>
      <c r="G39" s="1898"/>
      <c r="H39" s="1898"/>
    </row>
    <row r="40" spans="2:8" ht="84.75" customHeight="1">
      <c r="B40" s="1643" t="s">
        <v>340</v>
      </c>
      <c r="C40" s="1898" t="s">
        <v>1129</v>
      </c>
      <c r="D40" s="1898"/>
      <c r="E40" s="1898"/>
      <c r="F40" s="1898"/>
      <c r="G40" s="1898"/>
      <c r="H40" s="1898"/>
    </row>
    <row r="41" ht="19.5" customHeight="1"/>
    <row r="42" ht="19.5" customHeight="1"/>
  </sheetData>
  <sheetProtection password="F1BC" sheet="1"/>
  <mergeCells count="4">
    <mergeCell ref="C39:H39"/>
    <mergeCell ref="A3:J3"/>
    <mergeCell ref="C40:H40"/>
    <mergeCell ref="B26:G26"/>
  </mergeCells>
  <printOptions/>
  <pageMargins left="0.5" right="0.25" top="0.5" bottom="0.5" header="0.25" footer="0.5"/>
  <pageSetup fitToHeight="1" fitToWidth="1" horizontalDpi="600" verticalDpi="600" orientation="landscape" scale="40" r:id="rId1"/>
  <headerFooter alignWithMargins="0">
    <oddFooter>&amp;LDSHS 23-003&amp;C32&amp;RSchedule O-1</oddFooter>
  </headerFooter>
</worksheet>
</file>

<file path=xl/worksheets/sheet2.xml><?xml version="1.0" encoding="utf-8"?>
<worksheet xmlns="http://schemas.openxmlformats.org/spreadsheetml/2006/main" xmlns:r="http://schemas.openxmlformats.org/officeDocument/2006/relationships">
  <dimension ref="A2:M207"/>
  <sheetViews>
    <sheetView tabSelected="1" workbookViewId="0" topLeftCell="A1">
      <selection activeCell="B8" sqref="B8"/>
    </sheetView>
  </sheetViews>
  <sheetFormatPr defaultColWidth="9.140625" defaultRowHeight="12.75"/>
  <cols>
    <col min="1" max="1" width="4.140625" style="1" customWidth="1"/>
    <col min="2" max="2" width="12.28125" style="1" customWidth="1"/>
    <col min="3" max="3" width="12.57421875" style="1" customWidth="1"/>
    <col min="4" max="4" width="22.57421875" style="1" customWidth="1"/>
    <col min="5" max="5" width="10.00390625" style="1" customWidth="1"/>
    <col min="6" max="6" width="6.8515625" style="1" customWidth="1"/>
    <col min="7" max="7" width="10.8515625" style="1" customWidth="1"/>
    <col min="8" max="8" width="16.57421875" style="1" customWidth="1"/>
    <col min="9" max="9" width="11.8515625" style="1" customWidth="1"/>
    <col min="10" max="10" width="32.57421875" style="1" customWidth="1"/>
    <col min="11" max="11" width="4.140625" style="1" customWidth="1"/>
    <col min="12" max="16384" width="9.140625" style="1" customWidth="1"/>
  </cols>
  <sheetData>
    <row r="1" ht="6.75" customHeight="1"/>
    <row r="2" spans="1:11" ht="15.75">
      <c r="A2" s="2" t="s">
        <v>58</v>
      </c>
      <c r="B2" s="3"/>
      <c r="C2" s="3"/>
      <c r="D2" s="3"/>
      <c r="E2" s="3"/>
      <c r="F2" s="3"/>
      <c r="G2" s="3"/>
      <c r="H2" s="3"/>
      <c r="I2" s="3"/>
      <c r="J2" s="3"/>
      <c r="K2" s="3"/>
    </row>
    <row r="3" spans="1:11" ht="18">
      <c r="A3" s="4" t="s">
        <v>1017</v>
      </c>
      <c r="B3" s="3"/>
      <c r="C3" s="3"/>
      <c r="D3" s="3"/>
      <c r="E3" s="3"/>
      <c r="F3" s="3"/>
      <c r="G3" s="3"/>
      <c r="H3" s="3"/>
      <c r="I3" s="3"/>
      <c r="J3" s="3"/>
      <c r="K3" s="3"/>
    </row>
    <row r="4" spans="1:11" ht="15.75">
      <c r="A4" s="2" t="s">
        <v>59</v>
      </c>
      <c r="B4" s="3"/>
      <c r="C4" s="3"/>
      <c r="D4" s="3"/>
      <c r="E4" s="3"/>
      <c r="F4" s="3"/>
      <c r="G4" s="3"/>
      <c r="H4" s="3"/>
      <c r="I4" s="3"/>
      <c r="J4" s="3"/>
      <c r="K4" s="3"/>
    </row>
    <row r="5" ht="6.75" customHeight="1"/>
    <row r="6" spans="2:10" ht="15" customHeight="1" thickBot="1">
      <c r="B6" s="813" t="s">
        <v>60</v>
      </c>
      <c r="C6" s="813"/>
      <c r="D6" s="813"/>
      <c r="E6" s="813"/>
      <c r="F6" s="813"/>
      <c r="G6" s="813"/>
      <c r="H6" s="813"/>
      <c r="I6" s="813"/>
      <c r="J6" s="813"/>
    </row>
    <row r="7" spans="2:10" s="6" customFormat="1" ht="11.25">
      <c r="B7" s="7" t="s">
        <v>61</v>
      </c>
      <c r="C7" s="8"/>
      <c r="D7" s="8"/>
      <c r="E7" s="8"/>
      <c r="F7" s="8"/>
      <c r="G7" s="9" t="s">
        <v>561</v>
      </c>
      <c r="H7" s="8"/>
      <c r="I7" s="9" t="s">
        <v>562</v>
      </c>
      <c r="J7" s="10"/>
    </row>
    <row r="8" spans="2:12" ht="18.75">
      <c r="B8" s="1011"/>
      <c r="C8" s="12"/>
      <c r="D8" s="12"/>
      <c r="E8" s="12"/>
      <c r="F8" s="12"/>
      <c r="G8" s="1861"/>
      <c r="H8" s="1862"/>
      <c r="I8" s="13"/>
      <c r="J8" s="14"/>
      <c r="L8" s="15"/>
    </row>
    <row r="9" spans="2:10" s="6" customFormat="1" ht="11.25">
      <c r="B9" s="16" t="s">
        <v>563</v>
      </c>
      <c r="C9" s="17"/>
      <c r="D9" s="17"/>
      <c r="E9" s="17"/>
      <c r="F9" s="17" t="s">
        <v>62</v>
      </c>
      <c r="G9" s="17"/>
      <c r="H9" s="17" t="s">
        <v>63</v>
      </c>
      <c r="I9" s="18" t="s">
        <v>564</v>
      </c>
      <c r="J9" s="19"/>
    </row>
    <row r="10" spans="2:10" ht="15.75">
      <c r="B10" s="11"/>
      <c r="C10" s="12"/>
      <c r="D10" s="12"/>
      <c r="E10" s="12"/>
      <c r="F10" s="20"/>
      <c r="G10" s="12"/>
      <c r="H10" s="21"/>
      <c r="I10" s="13"/>
      <c r="J10" s="14"/>
    </row>
    <row r="11" spans="2:10" s="6" customFormat="1" ht="11.25">
      <c r="B11" s="16" t="s">
        <v>565</v>
      </c>
      <c r="C11" s="17"/>
      <c r="D11" s="17"/>
      <c r="E11" s="17"/>
      <c r="F11" s="17" t="s">
        <v>62</v>
      </c>
      <c r="G11" s="17"/>
      <c r="H11" s="17" t="s">
        <v>63</v>
      </c>
      <c r="I11" s="18" t="s">
        <v>566</v>
      </c>
      <c r="J11" s="19"/>
    </row>
    <row r="12" spans="2:10" ht="15.75">
      <c r="B12" s="11"/>
      <c r="C12" s="12"/>
      <c r="D12" s="12"/>
      <c r="E12" s="12"/>
      <c r="F12" s="20"/>
      <c r="G12" s="12"/>
      <c r="H12" s="21"/>
      <c r="I12" s="13"/>
      <c r="J12" s="14"/>
    </row>
    <row r="13" spans="2:10" s="6" customFormat="1" ht="11.25">
      <c r="B13" s="16" t="s">
        <v>1060</v>
      </c>
      <c r="C13" s="17"/>
      <c r="D13" s="17"/>
      <c r="E13" s="993"/>
      <c r="F13" s="17" t="s">
        <v>567</v>
      </c>
      <c r="G13" s="17"/>
      <c r="H13" s="17"/>
      <c r="I13" s="18" t="s">
        <v>568</v>
      </c>
      <c r="J13" s="19"/>
    </row>
    <row r="14" spans="2:10" ht="15.75">
      <c r="B14" s="11"/>
      <c r="C14" s="12"/>
      <c r="D14" s="12"/>
      <c r="E14" s="994"/>
      <c r="F14" s="991"/>
      <c r="G14" s="992"/>
      <c r="H14" s="992"/>
      <c r="I14" s="13"/>
      <c r="J14" s="14"/>
    </row>
    <row r="15" spans="2:10" s="6" customFormat="1" ht="11.25">
      <c r="B15" s="16" t="s">
        <v>569</v>
      </c>
      <c r="C15" s="17"/>
      <c r="D15" s="17"/>
      <c r="E15" s="17"/>
      <c r="F15" s="993"/>
      <c r="G15" s="17" t="s">
        <v>570</v>
      </c>
      <c r="H15" s="17"/>
      <c r="I15" s="1253" t="s">
        <v>571</v>
      </c>
      <c r="J15" s="19"/>
    </row>
    <row r="16" spans="2:10" ht="15.75">
      <c r="B16" s="11"/>
      <c r="C16" s="12"/>
      <c r="D16" s="12"/>
      <c r="E16" s="12"/>
      <c r="F16" s="994"/>
      <c r="G16" s="20"/>
      <c r="H16" s="12"/>
      <c r="I16" s="13"/>
      <c r="J16" s="14"/>
    </row>
    <row r="17" spans="2:10" s="6" customFormat="1" ht="11.25">
      <c r="B17" s="16" t="s">
        <v>572</v>
      </c>
      <c r="C17" s="17"/>
      <c r="D17" s="17"/>
      <c r="E17" s="17"/>
      <c r="F17" s="17" t="s">
        <v>62</v>
      </c>
      <c r="G17" s="17"/>
      <c r="H17" s="17" t="s">
        <v>64</v>
      </c>
      <c r="I17" s="17"/>
      <c r="J17" s="19" t="s">
        <v>63</v>
      </c>
    </row>
    <row r="18" spans="2:10" ht="15.75">
      <c r="B18" s="11"/>
      <c r="C18" s="12"/>
      <c r="D18" s="12"/>
      <c r="E18" s="12"/>
      <c r="F18" s="20"/>
      <c r="G18" s="12"/>
      <c r="H18" s="20"/>
      <c r="I18" s="12"/>
      <c r="J18" s="22"/>
    </row>
    <row r="19" spans="2:10" s="6" customFormat="1" ht="11.25">
      <c r="B19" s="16" t="s">
        <v>573</v>
      </c>
      <c r="C19" s="17"/>
      <c r="D19" s="17"/>
      <c r="E19" s="17"/>
      <c r="F19" s="17"/>
      <c r="G19" s="18" t="s">
        <v>574</v>
      </c>
      <c r="H19" s="17"/>
      <c r="I19" s="17"/>
      <c r="J19" s="19"/>
    </row>
    <row r="20" spans="2:10" ht="15.75">
      <c r="B20" s="11"/>
      <c r="C20" s="12"/>
      <c r="D20" s="12"/>
      <c r="E20" s="12"/>
      <c r="F20" s="12"/>
      <c r="G20" s="13"/>
      <c r="H20" s="12"/>
      <c r="I20" s="12"/>
      <c r="J20" s="14"/>
    </row>
    <row r="21" spans="2:10" s="6" customFormat="1" ht="11.25">
      <c r="B21" s="16" t="s">
        <v>575</v>
      </c>
      <c r="C21" s="17"/>
      <c r="D21" s="17"/>
      <c r="E21" s="17"/>
      <c r="F21" s="17" t="s">
        <v>62</v>
      </c>
      <c r="G21" s="17"/>
      <c r="H21" s="17" t="s">
        <v>64</v>
      </c>
      <c r="I21" s="17"/>
      <c r="J21" s="19" t="s">
        <v>63</v>
      </c>
    </row>
    <row r="22" spans="2:10" ht="15.75">
      <c r="B22" s="11"/>
      <c r="C22" s="12"/>
      <c r="D22" s="12"/>
      <c r="E22" s="12"/>
      <c r="F22" s="20"/>
      <c r="G22" s="12"/>
      <c r="H22" s="20"/>
      <c r="I22" s="23"/>
      <c r="J22" s="22"/>
    </row>
    <row r="23" spans="2:10" s="6" customFormat="1" ht="11.25">
      <c r="B23" s="16" t="s">
        <v>576</v>
      </c>
      <c r="C23" s="17"/>
      <c r="D23" s="17"/>
      <c r="E23" s="17"/>
      <c r="F23" s="17"/>
      <c r="G23" s="18" t="s">
        <v>577</v>
      </c>
      <c r="H23" s="17"/>
      <c r="I23" s="18" t="s">
        <v>578</v>
      </c>
      <c r="J23" s="19"/>
    </row>
    <row r="24" spans="2:10" ht="15.75">
      <c r="B24" s="944"/>
      <c r="C24" s="12"/>
      <c r="D24" s="12"/>
      <c r="E24" s="12"/>
      <c r="F24" s="12"/>
      <c r="G24" s="13"/>
      <c r="H24" s="12"/>
      <c r="I24" s="13"/>
      <c r="J24" s="14"/>
    </row>
    <row r="25" spans="2:10" s="6" customFormat="1" ht="9.75" customHeight="1">
      <c r="B25" s="16" t="s">
        <v>579</v>
      </c>
      <c r="C25" s="17"/>
      <c r="D25" s="17"/>
      <c r="E25" s="17"/>
      <c r="F25" s="17"/>
      <c r="G25" s="18" t="s">
        <v>580</v>
      </c>
      <c r="H25" s="17"/>
      <c r="I25" s="17"/>
      <c r="J25" s="19"/>
    </row>
    <row r="26" spans="2:10" ht="15.75" customHeight="1">
      <c r="B26" s="11"/>
      <c r="C26" s="12"/>
      <c r="D26" s="12"/>
      <c r="E26" s="12"/>
      <c r="F26" s="12"/>
      <c r="G26" s="13"/>
      <c r="H26" s="12"/>
      <c r="I26" s="12"/>
      <c r="J26" s="14"/>
    </row>
    <row r="27" spans="2:10" ht="10.5" customHeight="1">
      <c r="B27" s="24" t="s">
        <v>581</v>
      </c>
      <c r="C27" s="25"/>
      <c r="D27" s="26"/>
      <c r="E27" s="27" t="s">
        <v>582</v>
      </c>
      <c r="F27" s="27"/>
      <c r="G27" s="1252"/>
      <c r="H27" s="1251"/>
      <c r="I27" s="27" t="s">
        <v>583</v>
      </c>
      <c r="J27" s="28"/>
    </row>
    <row r="28" spans="2:10" ht="15.75" customHeight="1" thickBot="1">
      <c r="B28" s="29"/>
      <c r="C28" s="30"/>
      <c r="D28" s="31"/>
      <c r="E28" s="32"/>
      <c r="F28" s="30"/>
      <c r="G28" s="1010"/>
      <c r="H28" s="1256"/>
      <c r="I28" s="32"/>
      <c r="J28" s="33"/>
    </row>
    <row r="29" ht="6" customHeight="1"/>
    <row r="30" spans="2:10" ht="15" customHeight="1" thickBot="1">
      <c r="B30" s="813" t="s">
        <v>65</v>
      </c>
      <c r="C30" s="813"/>
      <c r="D30" s="813"/>
      <c r="E30" s="813"/>
      <c r="F30" s="813"/>
      <c r="G30" s="813"/>
      <c r="H30" s="813"/>
      <c r="I30" s="813"/>
      <c r="J30" s="813"/>
    </row>
    <row r="31" spans="2:10" s="6" customFormat="1" ht="11.25">
      <c r="B31" s="34" t="s">
        <v>66</v>
      </c>
      <c r="C31" s="35"/>
      <c r="D31" s="35"/>
      <c r="E31" s="35"/>
      <c r="F31" s="35"/>
      <c r="G31" s="35"/>
      <c r="H31" s="35"/>
      <c r="I31" s="35"/>
      <c r="J31" s="36"/>
    </row>
    <row r="32" spans="2:10" s="6" customFormat="1" ht="11.25">
      <c r="B32" s="37" t="s">
        <v>67</v>
      </c>
      <c r="C32" s="38"/>
      <c r="D32" s="38"/>
      <c r="E32" s="38"/>
      <c r="F32" s="38"/>
      <c r="G32" s="38"/>
      <c r="H32" s="38"/>
      <c r="I32" s="38"/>
      <c r="J32" s="39"/>
    </row>
    <row r="33" spans="2:10" ht="6" customHeight="1">
      <c r="B33" s="40"/>
      <c r="C33" s="41"/>
      <c r="D33" s="41"/>
      <c r="E33" s="41"/>
      <c r="F33" s="41"/>
      <c r="G33" s="41"/>
      <c r="H33" s="41"/>
      <c r="I33" s="41"/>
      <c r="J33" s="42"/>
    </row>
    <row r="34" spans="2:10" s="43" customFormat="1" ht="12.75">
      <c r="B34" s="44" t="s">
        <v>68</v>
      </c>
      <c r="C34" s="1163"/>
      <c r="D34" s="1041"/>
      <c r="E34" s="45"/>
      <c r="F34" s="45"/>
      <c r="G34" s="45"/>
      <c r="H34" s="45"/>
      <c r="I34" s="45"/>
      <c r="J34" s="46"/>
    </row>
    <row r="35" spans="2:10" s="43" customFormat="1" ht="15.75">
      <c r="B35" s="47" t="s">
        <v>69</v>
      </c>
      <c r="C35" s="48"/>
      <c r="D35" s="49"/>
      <c r="E35" s="45"/>
      <c r="F35" s="45"/>
      <c r="G35" s="45"/>
      <c r="H35" s="45"/>
      <c r="I35" s="45"/>
      <c r="J35" s="46"/>
    </row>
    <row r="36" spans="2:10" ht="16.5" customHeight="1">
      <c r="B36" s="1039" t="s">
        <v>70</v>
      </c>
      <c r="C36" s="50"/>
      <c r="D36" s="50"/>
      <c r="E36" s="50"/>
      <c r="F36" s="50"/>
      <c r="G36" s="50"/>
      <c r="H36" s="50"/>
      <c r="I36" s="50"/>
      <c r="J36" s="51"/>
    </row>
    <row r="37" spans="2:10" ht="15.75">
      <c r="B37" s="1040" t="s">
        <v>71</v>
      </c>
      <c r="C37" s="41"/>
      <c r="D37" s="41"/>
      <c r="E37" s="41"/>
      <c r="F37" s="41"/>
      <c r="G37" s="41"/>
      <c r="H37" s="41"/>
      <c r="I37" s="41"/>
      <c r="J37" s="42"/>
    </row>
    <row r="38" spans="2:10" s="43" customFormat="1" ht="15">
      <c r="B38" s="52" t="str">
        <f>"and supporting schedules prepared for "&amp;B8&amp;" for the report period"</f>
        <v>and supporting schedules prepared for  for the report period</v>
      </c>
      <c r="C38" s="45"/>
      <c r="D38" s="45"/>
      <c r="E38" s="45"/>
      <c r="F38" s="45"/>
      <c r="G38" s="45"/>
      <c r="H38" s="45"/>
      <c r="I38" s="45"/>
      <c r="J38" s="46"/>
    </row>
    <row r="39" spans="2:10" s="53" customFormat="1" ht="15.75">
      <c r="B39" s="54" t="s">
        <v>72</v>
      </c>
      <c r="C39" s="917"/>
      <c r="D39" s="55"/>
      <c r="E39" s="55"/>
      <c r="F39" s="1257"/>
      <c r="G39" s="1258" t="s">
        <v>73</v>
      </c>
      <c r="H39" s="1259"/>
      <c r="I39" s="1257"/>
      <c r="J39" s="57" t="s">
        <v>74</v>
      </c>
    </row>
    <row r="40" spans="2:10" s="53" customFormat="1" ht="15">
      <c r="B40" s="1040" t="s">
        <v>737</v>
      </c>
      <c r="C40" s="56"/>
      <c r="D40" s="56"/>
      <c r="E40" s="56"/>
      <c r="F40" s="56"/>
      <c r="G40" s="56"/>
      <c r="H40" s="56"/>
      <c r="I40" s="56"/>
      <c r="J40" s="57"/>
    </row>
    <row r="41" spans="2:10" s="53" customFormat="1" ht="15">
      <c r="B41" s="54" t="s">
        <v>738</v>
      </c>
      <c r="C41" s="56"/>
      <c r="D41" s="56"/>
      <c r="E41" s="56"/>
      <c r="F41" s="56"/>
      <c r="G41" s="56"/>
      <c r="H41" s="56"/>
      <c r="I41" s="56"/>
      <c r="J41" s="57"/>
    </row>
    <row r="42" spans="2:10" s="53" customFormat="1" ht="15">
      <c r="B42" s="54" t="s">
        <v>739</v>
      </c>
      <c r="C42" s="56"/>
      <c r="D42" s="56"/>
      <c r="E42" s="56"/>
      <c r="F42" s="56"/>
      <c r="G42" s="56"/>
      <c r="H42" s="56"/>
      <c r="I42" s="56"/>
      <c r="J42" s="57"/>
    </row>
    <row r="43" spans="2:10" s="53" customFormat="1" ht="15">
      <c r="B43" s="54" t="s">
        <v>740</v>
      </c>
      <c r="C43" s="56"/>
      <c r="D43" s="56"/>
      <c r="E43" s="56"/>
      <c r="F43" s="56"/>
      <c r="G43" s="56"/>
      <c r="H43" s="56"/>
      <c r="I43" s="56"/>
      <c r="J43" s="57"/>
    </row>
    <row r="44" spans="2:10" s="53" customFormat="1" ht="15">
      <c r="B44" s="54"/>
      <c r="C44" s="56"/>
      <c r="D44" s="56"/>
      <c r="E44" s="56"/>
      <c r="F44" s="56"/>
      <c r="G44" s="56"/>
      <c r="H44" s="56"/>
      <c r="I44" s="56"/>
      <c r="J44" s="57"/>
    </row>
    <row r="45" spans="2:10" ht="15.75">
      <c r="B45" s="999"/>
      <c r="C45" s="1000"/>
      <c r="D45" s="1000"/>
      <c r="E45" s="1000"/>
      <c r="F45" s="58"/>
      <c r="G45" s="23"/>
      <c r="H45" s="12"/>
      <c r="I45" s="12"/>
      <c r="J45" s="14"/>
    </row>
    <row r="46" spans="2:10" ht="13.5" customHeight="1">
      <c r="B46" s="59"/>
      <c r="C46" s="60"/>
      <c r="D46" s="1001"/>
      <c r="E46" s="61"/>
      <c r="F46" s="62"/>
      <c r="G46" s="1123" t="s">
        <v>256</v>
      </c>
      <c r="H46" s="1130"/>
      <c r="I46" s="1130"/>
      <c r="J46" s="1131"/>
    </row>
    <row r="47" spans="2:10" ht="14.25" customHeight="1">
      <c r="B47" s="1002"/>
      <c r="C47" s="1003"/>
      <c r="D47" s="1000"/>
      <c r="E47" s="61"/>
      <c r="F47" s="41"/>
      <c r="G47" s="1123" t="s">
        <v>257</v>
      </c>
      <c r="H47" s="1000"/>
      <c r="I47" s="1000"/>
      <c r="J47" s="1132"/>
    </row>
    <row r="48" spans="2:10" ht="18.75" customHeight="1">
      <c r="B48" s="1002"/>
      <c r="C48" s="1004"/>
      <c r="D48" s="1005"/>
      <c r="E48" s="1000"/>
      <c r="F48" s="41"/>
      <c r="G48" s="1076"/>
      <c r="H48" s="1124"/>
      <c r="I48" s="1124"/>
      <c r="J48" s="1125"/>
    </row>
    <row r="49" spans="2:10" ht="29.25" customHeight="1">
      <c r="B49" s="999"/>
      <c r="C49" s="1006"/>
      <c r="D49" s="1007"/>
      <c r="E49" s="1006"/>
      <c r="F49" s="41"/>
      <c r="G49" s="1133" t="s">
        <v>258</v>
      </c>
      <c r="H49" s="1000"/>
      <c r="I49" s="1000"/>
      <c r="J49" s="1134"/>
    </row>
    <row r="50" spans="2:10" ht="15.75">
      <c r="B50" s="1008"/>
      <c r="C50" s="1000"/>
      <c r="D50" s="1000"/>
      <c r="E50" s="1000"/>
      <c r="F50" s="41"/>
      <c r="G50" s="1076"/>
      <c r="H50" s="1126"/>
      <c r="I50" s="1126"/>
      <c r="J50" s="1127"/>
    </row>
    <row r="51" spans="2:10" ht="15.75">
      <c r="B51" s="999"/>
      <c r="C51" s="1000"/>
      <c r="D51" s="1007"/>
      <c r="E51" s="1004"/>
      <c r="F51" s="41"/>
      <c r="G51" s="1133" t="s">
        <v>259</v>
      </c>
      <c r="H51" s="1000"/>
      <c r="I51" s="1000"/>
      <c r="J51" s="1132"/>
    </row>
    <row r="52" spans="2:10" ht="16.5" thickBot="1">
      <c r="B52" s="1009"/>
      <c r="C52" s="1010"/>
      <c r="D52" s="1010"/>
      <c r="E52" s="1010"/>
      <c r="F52" s="30"/>
      <c r="G52" s="1135"/>
      <c r="H52" s="1136"/>
      <c r="I52" s="1136"/>
      <c r="J52" s="1137"/>
    </row>
    <row r="53" ht="6.75" customHeight="1" thickBot="1"/>
    <row r="54" spans="2:10" ht="15.75">
      <c r="B54" s="65"/>
      <c r="C54" s="66"/>
      <c r="D54" s="66"/>
      <c r="E54" s="67" t="s">
        <v>260</v>
      </c>
      <c r="F54" s="68" t="s">
        <v>261</v>
      </c>
      <c r="G54" s="66"/>
      <c r="H54" s="66"/>
      <c r="I54" s="66"/>
      <c r="J54" s="69"/>
    </row>
    <row r="55" spans="2:10" ht="15.75">
      <c r="B55" s="40"/>
      <c r="C55" s="41"/>
      <c r="D55" s="41"/>
      <c r="E55" s="41"/>
      <c r="F55" s="70" t="s">
        <v>648</v>
      </c>
      <c r="G55" s="41"/>
      <c r="H55" s="41"/>
      <c r="I55" s="41"/>
      <c r="J55" s="42"/>
    </row>
    <row r="56" spans="2:10" ht="15.75">
      <c r="B56" s="40"/>
      <c r="C56" s="41"/>
      <c r="D56" s="41"/>
      <c r="E56" s="41"/>
      <c r="F56" s="70" t="s">
        <v>262</v>
      </c>
      <c r="G56" s="41"/>
      <c r="H56" s="41"/>
      <c r="I56" s="41"/>
      <c r="J56" s="42"/>
    </row>
    <row r="57" spans="2:10" ht="15.75">
      <c r="B57" s="40"/>
      <c r="C57" s="41"/>
      <c r="D57" s="41"/>
      <c r="E57" s="41"/>
      <c r="F57" s="70" t="s">
        <v>263</v>
      </c>
      <c r="G57" s="41"/>
      <c r="H57" s="41"/>
      <c r="I57" s="41"/>
      <c r="J57" s="42"/>
    </row>
    <row r="58" spans="2:10" ht="16.5" thickBot="1">
      <c r="B58" s="64"/>
      <c r="C58" s="30"/>
      <c r="D58" s="30"/>
      <c r="E58" s="30"/>
      <c r="F58" s="71" t="s">
        <v>264</v>
      </c>
      <c r="G58" s="30"/>
      <c r="H58" s="30"/>
      <c r="I58" s="30"/>
      <c r="J58" s="33"/>
    </row>
    <row r="59" spans="2:5" ht="15.75">
      <c r="B59" s="72" t="s">
        <v>265</v>
      </c>
      <c r="C59" s="73">
        <f>_C000027</f>
        <v>0</v>
      </c>
      <c r="D59" s="12"/>
      <c r="E59" s="12"/>
    </row>
    <row r="60" spans="2:6" ht="15.75">
      <c r="B60" s="72" t="s">
        <v>266</v>
      </c>
      <c r="C60" s="12">
        <f>+$I$8</f>
        <v>0</v>
      </c>
      <c r="D60" s="12"/>
      <c r="E60" s="12"/>
      <c r="F60" s="1" t="str">
        <f>$A$3</f>
        <v>NURSING FACILITY 2019 COST REPORT</v>
      </c>
    </row>
    <row r="61" spans="2:5" ht="6" customHeight="1" thickBot="1">
      <c r="B61" s="72"/>
      <c r="C61" s="41"/>
      <c r="D61" s="41"/>
      <c r="E61" s="41"/>
    </row>
    <row r="62" spans="2:11" ht="22.5" customHeight="1" thickBot="1">
      <c r="B62" s="1869" t="s">
        <v>741</v>
      </c>
      <c r="C62" s="1870"/>
      <c r="D62" s="1870"/>
      <c r="E62" s="1870"/>
      <c r="F62" s="1870"/>
      <c r="G62" s="1870"/>
      <c r="H62" s="1870"/>
      <c r="I62" s="1870"/>
      <c r="J62" s="1871"/>
      <c r="K62" s="3"/>
    </row>
    <row r="63" spans="1:11" ht="15" customHeight="1">
      <c r="A63" s="2"/>
      <c r="B63" s="3"/>
      <c r="C63" s="3"/>
      <c r="D63" s="3"/>
      <c r="E63" s="3"/>
      <c r="F63" s="3"/>
      <c r="G63" s="3"/>
      <c r="H63" s="3"/>
      <c r="I63" s="3"/>
      <c r="J63" s="3"/>
      <c r="K63" s="3"/>
    </row>
    <row r="64" ht="7.5" customHeight="1"/>
    <row r="65" spans="2:10" ht="16.5" thickBot="1">
      <c r="B65" s="813" t="s">
        <v>267</v>
      </c>
      <c r="C65" s="813"/>
      <c r="D65" s="813"/>
      <c r="E65" s="813"/>
      <c r="F65" s="813"/>
      <c r="G65" s="813"/>
      <c r="H65" s="813"/>
      <c r="I65" s="813"/>
      <c r="J65" s="813"/>
    </row>
    <row r="66" spans="2:10" s="6" customFormat="1" ht="15" customHeight="1">
      <c r="B66" s="1254" t="s">
        <v>639</v>
      </c>
      <c r="C66" s="8"/>
      <c r="D66" s="8"/>
      <c r="E66" s="8"/>
      <c r="F66" s="8"/>
      <c r="G66" s="8"/>
      <c r="H66" s="8"/>
      <c r="I66" s="8"/>
      <c r="J66" s="10"/>
    </row>
    <row r="67" spans="2:10" s="6" customFormat="1" ht="16.5" customHeight="1">
      <c r="B67" s="1373" t="s">
        <v>633</v>
      </c>
      <c r="C67" s="63"/>
      <c r="D67" s="63"/>
      <c r="E67" s="75"/>
      <c r="F67" s="63"/>
      <c r="G67" s="75"/>
      <c r="H67" s="63"/>
      <c r="I67" s="75"/>
      <c r="J67" s="76"/>
    </row>
    <row r="68" spans="2:10" s="6" customFormat="1" ht="16.5" customHeight="1">
      <c r="B68" s="16"/>
      <c r="C68" s="63"/>
      <c r="D68" s="63"/>
      <c r="E68" s="75"/>
      <c r="F68" s="63"/>
      <c r="G68" s="75"/>
      <c r="H68" s="1260"/>
      <c r="I68" s="77"/>
      <c r="J68" s="78"/>
    </row>
    <row r="69" spans="2:10" s="79" customFormat="1" ht="4.5" customHeight="1">
      <c r="B69" s="74"/>
      <c r="C69" s="63"/>
      <c r="D69" s="63"/>
      <c r="E69" s="75"/>
      <c r="F69" s="63"/>
      <c r="G69" s="75"/>
      <c r="H69" s="63"/>
      <c r="I69" s="75"/>
      <c r="J69" s="76"/>
    </row>
    <row r="70" spans="2:10" s="80" customFormat="1" ht="16.5" customHeight="1">
      <c r="B70" s="81" t="s">
        <v>268</v>
      </c>
      <c r="C70" s="82"/>
      <c r="D70" s="82"/>
      <c r="E70" s="82"/>
      <c r="F70" s="82"/>
      <c r="G70" s="82"/>
      <c r="H70" s="82"/>
      <c r="I70" s="82"/>
      <c r="J70" s="83"/>
    </row>
    <row r="71" spans="2:10" s="6" customFormat="1" ht="11.25">
      <c r="B71" s="1255" t="s">
        <v>584</v>
      </c>
      <c r="C71" s="993"/>
      <c r="D71" s="1248" t="s">
        <v>269</v>
      </c>
      <c r="E71" s="17"/>
      <c r="F71" s="17"/>
      <c r="G71" s="17"/>
      <c r="H71" s="993"/>
      <c r="I71" s="1249" t="s">
        <v>270</v>
      </c>
      <c r="J71" s="19" t="s">
        <v>560</v>
      </c>
    </row>
    <row r="72" spans="2:10" ht="16.5" thickBot="1">
      <c r="B72" s="29"/>
      <c r="C72" s="31"/>
      <c r="D72" s="32"/>
      <c r="E72" s="30"/>
      <c r="F72" s="30"/>
      <c r="G72" s="30"/>
      <c r="H72" s="31"/>
      <c r="I72" s="1250"/>
      <c r="J72" s="1826">
        <f>_M000008</f>
        <v>0</v>
      </c>
    </row>
    <row r="73" ht="15" customHeight="1"/>
    <row r="74" ht="6" customHeight="1"/>
    <row r="75" spans="2:10" ht="16.5" thickBot="1">
      <c r="B75" s="813" t="s">
        <v>271</v>
      </c>
      <c r="C75" s="813"/>
      <c r="D75" s="813"/>
      <c r="E75" s="813"/>
      <c r="F75" s="813"/>
      <c r="G75" s="813"/>
      <c r="H75" s="813"/>
      <c r="I75" s="813"/>
      <c r="J75" s="813"/>
    </row>
    <row r="76" spans="2:10" s="6" customFormat="1" ht="11.25">
      <c r="B76" s="7" t="s">
        <v>272</v>
      </c>
      <c r="C76" s="8"/>
      <c r="D76" s="8"/>
      <c r="E76" s="8"/>
      <c r="F76" s="8"/>
      <c r="G76" s="8"/>
      <c r="H76" s="8"/>
      <c r="I76" s="8"/>
      <c r="J76" s="10"/>
    </row>
    <row r="77" spans="2:10" s="6" customFormat="1" ht="11.25">
      <c r="B77" s="86" t="s">
        <v>274</v>
      </c>
      <c r="C77" s="87"/>
      <c r="D77" s="87"/>
      <c r="E77" s="87"/>
      <c r="F77" s="87"/>
      <c r="G77" s="87"/>
      <c r="H77" s="87"/>
      <c r="I77" s="87"/>
      <c r="J77" s="88"/>
    </row>
    <row r="78" spans="2:10" s="6" customFormat="1" ht="11.25">
      <c r="B78" s="1255" t="s">
        <v>585</v>
      </c>
      <c r="C78" s="17"/>
      <c r="D78" s="17"/>
      <c r="E78" s="18" t="s">
        <v>269</v>
      </c>
      <c r="F78" s="17"/>
      <c r="G78" s="17"/>
      <c r="H78" s="89" t="s">
        <v>275</v>
      </c>
      <c r="I78" s="18" t="s">
        <v>276</v>
      </c>
      <c r="J78" s="84" t="s">
        <v>270</v>
      </c>
    </row>
    <row r="79" spans="2:10" ht="15.75">
      <c r="B79" s="11"/>
      <c r="C79" s="12"/>
      <c r="D79" s="12"/>
      <c r="E79" s="90"/>
      <c r="F79" s="12"/>
      <c r="G79" s="12"/>
      <c r="H79" s="13"/>
      <c r="I79" s="91"/>
      <c r="J79" s="92"/>
    </row>
    <row r="80" spans="2:10" s="6" customFormat="1" ht="11.25">
      <c r="B80" s="1255" t="s">
        <v>586</v>
      </c>
      <c r="C80" s="17"/>
      <c r="D80" s="17"/>
      <c r="E80" s="18" t="s">
        <v>269</v>
      </c>
      <c r="F80" s="17"/>
      <c r="G80" s="17"/>
      <c r="H80" s="89" t="s">
        <v>275</v>
      </c>
      <c r="I80" s="18" t="s">
        <v>276</v>
      </c>
      <c r="J80" s="84" t="s">
        <v>270</v>
      </c>
    </row>
    <row r="81" spans="2:10" ht="15.75">
      <c r="B81" s="11"/>
      <c r="C81" s="12"/>
      <c r="D81" s="12"/>
      <c r="E81" s="13"/>
      <c r="F81" s="12"/>
      <c r="G81" s="12"/>
      <c r="H81" s="13"/>
      <c r="I81" s="91"/>
      <c r="J81" s="93"/>
    </row>
    <row r="82" spans="2:10" s="6" customFormat="1" ht="11.25">
      <c r="B82" s="1255" t="s">
        <v>587</v>
      </c>
      <c r="C82" s="17"/>
      <c r="D82" s="17"/>
      <c r="E82" s="18" t="s">
        <v>269</v>
      </c>
      <c r="F82" s="17"/>
      <c r="G82" s="17"/>
      <c r="H82" s="89" t="s">
        <v>275</v>
      </c>
      <c r="I82" s="18" t="s">
        <v>276</v>
      </c>
      <c r="J82" s="84" t="s">
        <v>270</v>
      </c>
    </row>
    <row r="83" spans="2:10" ht="16.5" thickBot="1">
      <c r="B83" s="29"/>
      <c r="C83" s="30"/>
      <c r="D83" s="30"/>
      <c r="E83" s="85"/>
      <c r="F83" s="30"/>
      <c r="G83" s="30"/>
      <c r="H83" s="85"/>
      <c r="I83" s="94"/>
      <c r="J83" s="95"/>
    </row>
    <row r="84" ht="6" customHeight="1"/>
    <row r="85" s="43" customFormat="1" ht="12.75">
      <c r="B85" s="96" t="s">
        <v>667</v>
      </c>
    </row>
    <row r="86" s="43" customFormat="1" ht="13.5" thickBot="1">
      <c r="B86" s="43" t="s">
        <v>974</v>
      </c>
    </row>
    <row r="87" spans="2:10" ht="16.5" customHeight="1" thickBot="1">
      <c r="B87" s="5"/>
      <c r="F87" s="97" t="s">
        <v>277</v>
      </c>
      <c r="G87" s="1" t="s">
        <v>634</v>
      </c>
      <c r="H87" s="61"/>
      <c r="I87" s="1379"/>
      <c r="J87" s="61"/>
    </row>
    <row r="88" ht="6" customHeight="1"/>
    <row r="89" ht="15" customHeight="1"/>
    <row r="90" spans="2:10" ht="16.5" thickBot="1">
      <c r="B90" s="813" t="s">
        <v>278</v>
      </c>
      <c r="C90" s="813"/>
      <c r="D90" s="813"/>
      <c r="E90" s="813"/>
      <c r="F90" s="813"/>
      <c r="G90" s="813"/>
      <c r="H90" s="813"/>
      <c r="I90" s="813"/>
      <c r="J90" s="813"/>
    </row>
    <row r="91" spans="2:10" s="6" customFormat="1" ht="11.25">
      <c r="B91" s="7" t="s">
        <v>279</v>
      </c>
      <c r="C91" s="8"/>
      <c r="D91" s="8"/>
      <c r="E91" s="8"/>
      <c r="F91" s="8"/>
      <c r="G91" s="8"/>
      <c r="H91" s="8"/>
      <c r="I91" s="8"/>
      <c r="J91" s="10"/>
    </row>
    <row r="92" spans="2:10" s="6" customFormat="1" ht="11.25">
      <c r="B92" s="98" t="s">
        <v>280</v>
      </c>
      <c r="C92" s="87"/>
      <c r="D92" s="87"/>
      <c r="E92" s="87"/>
      <c r="F92" s="87"/>
      <c r="G92" s="87"/>
      <c r="H92" s="87"/>
      <c r="I92" s="87"/>
      <c r="J92" s="88"/>
    </row>
    <row r="93" spans="2:10" s="6" customFormat="1" ht="11.25">
      <c r="B93" s="1255" t="s">
        <v>282</v>
      </c>
      <c r="C93" s="17"/>
      <c r="D93" s="17"/>
      <c r="E93" s="18" t="s">
        <v>269</v>
      </c>
      <c r="F93" s="17"/>
      <c r="G93" s="17"/>
      <c r="H93" s="18" t="s">
        <v>281</v>
      </c>
      <c r="I93" s="17"/>
      <c r="J93" s="84" t="s">
        <v>270</v>
      </c>
    </row>
    <row r="94" spans="2:10" ht="15.75">
      <c r="B94" s="11"/>
      <c r="C94" s="12"/>
      <c r="D94" s="12"/>
      <c r="E94" s="13"/>
      <c r="F94" s="12"/>
      <c r="G94" s="12"/>
      <c r="H94" s="13"/>
      <c r="I94" s="12"/>
      <c r="J94" s="93"/>
    </row>
    <row r="95" spans="2:10" s="6" customFormat="1" ht="11.25">
      <c r="B95" s="1255" t="s">
        <v>283</v>
      </c>
      <c r="C95" s="17"/>
      <c r="D95" s="17"/>
      <c r="E95" s="18" t="s">
        <v>269</v>
      </c>
      <c r="F95" s="17"/>
      <c r="G95" s="17"/>
      <c r="H95" s="18" t="s">
        <v>281</v>
      </c>
      <c r="I95" s="17"/>
      <c r="J95" s="84" t="s">
        <v>270</v>
      </c>
    </row>
    <row r="96" spans="2:10" ht="15.75">
      <c r="B96" s="11"/>
      <c r="C96" s="12"/>
      <c r="D96" s="12"/>
      <c r="E96" s="13"/>
      <c r="F96" s="12"/>
      <c r="G96" s="12"/>
      <c r="H96" s="13"/>
      <c r="I96" s="12"/>
      <c r="J96" s="93"/>
    </row>
    <row r="97" spans="2:10" s="6" customFormat="1" ht="11.25">
      <c r="B97" s="1255" t="s">
        <v>588</v>
      </c>
      <c r="C97" s="17"/>
      <c r="D97" s="17"/>
      <c r="E97" s="18" t="s">
        <v>269</v>
      </c>
      <c r="F97" s="17"/>
      <c r="G97" s="17"/>
      <c r="H97" s="18" t="s">
        <v>281</v>
      </c>
      <c r="I97" s="17"/>
      <c r="J97" s="84" t="s">
        <v>270</v>
      </c>
    </row>
    <row r="98" spans="2:10" ht="15.75">
      <c r="B98" s="11"/>
      <c r="C98" s="12"/>
      <c r="D98" s="12"/>
      <c r="E98" s="13"/>
      <c r="F98" s="12"/>
      <c r="G98" s="12"/>
      <c r="H98" s="13"/>
      <c r="I98" s="12"/>
      <c r="J98" s="93"/>
    </row>
    <row r="99" spans="2:10" s="6" customFormat="1" ht="11.25">
      <c r="B99" s="1255" t="s">
        <v>589</v>
      </c>
      <c r="C99" s="17"/>
      <c r="D99" s="17"/>
      <c r="E99" s="18" t="s">
        <v>269</v>
      </c>
      <c r="F99" s="17"/>
      <c r="G99" s="17"/>
      <c r="H99" s="18" t="s">
        <v>281</v>
      </c>
      <c r="I99" s="17"/>
      <c r="J99" s="84" t="s">
        <v>270</v>
      </c>
    </row>
    <row r="100" spans="2:10" ht="15.75">
      <c r="B100" s="11"/>
      <c r="C100" s="12"/>
      <c r="D100" s="12"/>
      <c r="E100" s="13"/>
      <c r="F100" s="12"/>
      <c r="G100" s="12"/>
      <c r="H100" s="13"/>
      <c r="I100" s="12"/>
      <c r="J100" s="93"/>
    </row>
    <row r="101" spans="2:10" s="6" customFormat="1" ht="11.25">
      <c r="B101" s="1255" t="s">
        <v>590</v>
      </c>
      <c r="C101" s="17"/>
      <c r="D101" s="17"/>
      <c r="E101" s="18" t="s">
        <v>269</v>
      </c>
      <c r="F101" s="17"/>
      <c r="G101" s="17"/>
      <c r="H101" s="18" t="s">
        <v>281</v>
      </c>
      <c r="I101" s="17"/>
      <c r="J101" s="84" t="s">
        <v>270</v>
      </c>
    </row>
    <row r="102" spans="2:10" ht="15.75">
      <c r="B102" s="11"/>
      <c r="C102" s="12"/>
      <c r="D102" s="12"/>
      <c r="E102" s="13"/>
      <c r="F102" s="12"/>
      <c r="G102" s="12"/>
      <c r="H102" s="13"/>
      <c r="I102" s="12"/>
      <c r="J102" s="93"/>
    </row>
    <row r="103" spans="2:10" s="6" customFormat="1" ht="11.25">
      <c r="B103" s="1255" t="s">
        <v>591</v>
      </c>
      <c r="C103" s="17"/>
      <c r="D103" s="17"/>
      <c r="E103" s="18" t="s">
        <v>269</v>
      </c>
      <c r="F103" s="17"/>
      <c r="G103" s="17"/>
      <c r="H103" s="18" t="s">
        <v>281</v>
      </c>
      <c r="I103" s="17"/>
      <c r="J103" s="84" t="s">
        <v>270</v>
      </c>
    </row>
    <row r="104" spans="2:10" ht="15.75">
      <c r="B104" s="11"/>
      <c r="C104" s="12"/>
      <c r="D104" s="12"/>
      <c r="E104" s="13"/>
      <c r="F104" s="12"/>
      <c r="G104" s="12"/>
      <c r="H104" s="13"/>
      <c r="I104" s="12"/>
      <c r="J104" s="93"/>
    </row>
    <row r="105" spans="2:10" s="6" customFormat="1" ht="11.25">
      <c r="B105" s="1255" t="s">
        <v>592</v>
      </c>
      <c r="C105" s="17"/>
      <c r="D105" s="17" t="s">
        <v>1</v>
      </c>
      <c r="E105" s="18" t="s">
        <v>269</v>
      </c>
      <c r="F105" s="17"/>
      <c r="G105" s="17"/>
      <c r="H105" s="18" t="s">
        <v>281</v>
      </c>
      <c r="I105" s="17"/>
      <c r="J105" s="84" t="s">
        <v>270</v>
      </c>
    </row>
    <row r="106" spans="2:10" ht="16.5" thickBot="1">
      <c r="B106" s="29"/>
      <c r="C106" s="30"/>
      <c r="D106" s="30"/>
      <c r="E106" s="85"/>
      <c r="F106" s="30"/>
      <c r="G106" s="30"/>
      <c r="H106" s="85"/>
      <c r="I106" s="30"/>
      <c r="J106" s="95"/>
    </row>
    <row r="107" spans="2:10" ht="15.75">
      <c r="B107" s="1514"/>
      <c r="C107" s="41"/>
      <c r="D107" s="41"/>
      <c r="E107" s="1514"/>
      <c r="F107" s="41"/>
      <c r="G107" s="41"/>
      <c r="H107" s="1514"/>
      <c r="I107" s="41"/>
      <c r="J107" s="1515"/>
    </row>
    <row r="108" spans="2:5" ht="15.75">
      <c r="B108" s="72" t="s">
        <v>265</v>
      </c>
      <c r="C108" s="73">
        <f>_C000027</f>
        <v>0</v>
      </c>
      <c r="D108" s="12"/>
      <c r="E108" s="12"/>
    </row>
    <row r="109" spans="2:6" ht="15.75">
      <c r="B109" s="72" t="s">
        <v>266</v>
      </c>
      <c r="C109" s="12">
        <f>+$I$8</f>
        <v>0</v>
      </c>
      <c r="D109" s="12"/>
      <c r="E109" s="12"/>
      <c r="F109" s="1" t="str">
        <f>$A$3</f>
        <v>NURSING FACILITY 2019 COST REPORT</v>
      </c>
    </row>
    <row r="110" ht="22.5" customHeight="1" thickBot="1"/>
    <row r="111" spans="2:10" ht="16.5" thickBot="1">
      <c r="B111" s="1863" t="s">
        <v>742</v>
      </c>
      <c r="C111" s="1864"/>
      <c r="D111" s="1864"/>
      <c r="E111" s="1864"/>
      <c r="F111" s="1864"/>
      <c r="G111" s="1864"/>
      <c r="H111" s="1864"/>
      <c r="I111" s="1865"/>
      <c r="J111" s="1533"/>
    </row>
    <row r="112" spans="2:8" ht="15.75">
      <c r="B112" s="514"/>
      <c r="C112" s="514"/>
      <c r="D112" s="514"/>
      <c r="E112" s="514"/>
      <c r="F112" s="514"/>
      <c r="G112" s="514"/>
      <c r="H112" s="514"/>
    </row>
    <row r="113" spans="2:10" ht="16.5" thickBot="1">
      <c r="B113" s="813" t="s">
        <v>744</v>
      </c>
      <c r="C113" s="813"/>
      <c r="D113" s="813"/>
      <c r="E113" s="813"/>
      <c r="F113" s="813"/>
      <c r="G113" s="813"/>
      <c r="H113" s="813"/>
      <c r="I113" s="813"/>
      <c r="J113" s="813"/>
    </row>
    <row r="114" spans="2:10" s="43" customFormat="1" ht="15.75">
      <c r="B114" s="1722" t="s">
        <v>520</v>
      </c>
      <c r="C114" s="1723"/>
      <c r="D114" s="517"/>
      <c r="E114" s="1724" t="s">
        <v>521</v>
      </c>
      <c r="F114" s="1725"/>
      <c r="G114" s="1723"/>
      <c r="H114" s="517"/>
      <c r="I114" s="66"/>
      <c r="J114" s="69"/>
    </row>
    <row r="115" spans="2:12" s="43" customFormat="1" ht="15.75">
      <c r="B115" s="518" t="s">
        <v>522</v>
      </c>
      <c r="C115" s="519"/>
      <c r="D115" s="520"/>
      <c r="E115" s="518" t="s">
        <v>522</v>
      </c>
      <c r="F115" s="521"/>
      <c r="G115" s="524"/>
      <c r="H115" s="522"/>
      <c r="I115" s="522" t="s">
        <v>523</v>
      </c>
      <c r="J115" s="523"/>
      <c r="K115" s="1"/>
      <c r="L115" s="1"/>
    </row>
    <row r="116" spans="2:12" s="43" customFormat="1" ht="15.75">
      <c r="B116" s="518" t="s">
        <v>523</v>
      </c>
      <c r="C116" s="519"/>
      <c r="D116" s="520"/>
      <c r="E116" s="518" t="s">
        <v>522</v>
      </c>
      <c r="F116" s="524"/>
      <c r="G116" s="524"/>
      <c r="H116" s="522"/>
      <c r="I116" s="522" t="s">
        <v>523</v>
      </c>
      <c r="J116" s="523"/>
      <c r="K116" s="1"/>
      <c r="L116" s="1"/>
    </row>
    <row r="117" spans="2:12" s="43" customFormat="1" ht="15.75">
      <c r="B117" s="518" t="s">
        <v>524</v>
      </c>
      <c r="C117" s="519"/>
      <c r="D117" s="520"/>
      <c r="E117" s="518" t="s">
        <v>522</v>
      </c>
      <c r="F117" s="524"/>
      <c r="G117" s="524"/>
      <c r="H117" s="522"/>
      <c r="I117" s="522" t="s">
        <v>523</v>
      </c>
      <c r="J117" s="523"/>
      <c r="K117" s="1"/>
      <c r="L117" s="1"/>
    </row>
    <row r="118" spans="2:12" s="43" customFormat="1" ht="16.5" thickBot="1">
      <c r="B118" s="525" t="s">
        <v>525</v>
      </c>
      <c r="C118" s="526"/>
      <c r="D118" s="527"/>
      <c r="E118" s="525" t="s">
        <v>522</v>
      </c>
      <c r="F118" s="528"/>
      <c r="G118" s="528"/>
      <c r="H118" s="529"/>
      <c r="I118" s="529" t="s">
        <v>523</v>
      </c>
      <c r="J118" s="530"/>
      <c r="K118" s="1"/>
      <c r="L118" s="1"/>
    </row>
    <row r="119" spans="2:12" s="43" customFormat="1" ht="16.5" thickBot="1">
      <c r="B119" s="531"/>
      <c r="C119" s="512"/>
      <c r="D119" s="532"/>
      <c r="E119" s="532" t="s">
        <v>526</v>
      </c>
      <c r="F119" s="511"/>
      <c r="G119" s="511"/>
      <c r="H119" s="511"/>
      <c r="I119" s="511"/>
      <c r="J119" s="511"/>
      <c r="K119" s="1"/>
      <c r="L119" s="1"/>
    </row>
    <row r="120" spans="2:13" s="43" customFormat="1" ht="15.75">
      <c r="B120" s="518" t="s">
        <v>522</v>
      </c>
      <c r="C120" s="533"/>
      <c r="D120" s="534"/>
      <c r="E120" s="534" t="s">
        <v>522</v>
      </c>
      <c r="F120" s="535"/>
      <c r="G120" s="536"/>
      <c r="H120" s="536"/>
      <c r="I120" s="534" t="s">
        <v>522</v>
      </c>
      <c r="J120" s="537"/>
      <c r="L120" s="1"/>
      <c r="M120" s="1"/>
    </row>
    <row r="121" spans="2:13" s="43" customFormat="1" ht="15.75">
      <c r="B121" s="518" t="s">
        <v>523</v>
      </c>
      <c r="C121" s="519"/>
      <c r="D121" s="538"/>
      <c r="E121" s="538" t="s">
        <v>523</v>
      </c>
      <c r="F121" s="539"/>
      <c r="G121" s="540"/>
      <c r="H121" s="540"/>
      <c r="I121" s="538" t="s">
        <v>523</v>
      </c>
      <c r="J121" s="541"/>
      <c r="L121" s="1"/>
      <c r="M121" s="1"/>
    </row>
    <row r="122" spans="2:10" s="43" customFormat="1" ht="15.75">
      <c r="B122" s="518" t="s">
        <v>524</v>
      </c>
      <c r="C122" s="519"/>
      <c r="D122" s="538"/>
      <c r="E122" s="538" t="s">
        <v>524</v>
      </c>
      <c r="F122" s="539"/>
      <c r="G122" s="540"/>
      <c r="H122" s="540"/>
      <c r="I122" s="538" t="s">
        <v>524</v>
      </c>
      <c r="J122" s="541"/>
    </row>
    <row r="123" spans="2:10" ht="15.75">
      <c r="B123" s="542" t="s">
        <v>527</v>
      </c>
      <c r="C123" s="543"/>
      <c r="D123" s="544"/>
      <c r="E123" s="544" t="s">
        <v>527</v>
      </c>
      <c r="F123" s="545"/>
      <c r="G123" s="546"/>
      <c r="H123" s="546"/>
      <c r="I123" s="544" t="s">
        <v>527</v>
      </c>
      <c r="J123" s="547"/>
    </row>
    <row r="124" spans="2:10" ht="32.25" thickBot="1">
      <c r="B124" s="1727" t="s">
        <v>761</v>
      </c>
      <c r="C124" s="996"/>
      <c r="D124" s="549"/>
      <c r="E124" s="1726" t="s">
        <v>762</v>
      </c>
      <c r="F124" s="550"/>
      <c r="G124" s="997"/>
      <c r="H124" s="997"/>
      <c r="I124" s="1726" t="s">
        <v>762</v>
      </c>
      <c r="J124" s="998"/>
    </row>
    <row r="125" spans="2:10" ht="15.75">
      <c r="B125" s="518" t="s">
        <v>522</v>
      </c>
      <c r="C125" s="533"/>
      <c r="D125" s="534"/>
      <c r="E125" s="534" t="s">
        <v>522</v>
      </c>
      <c r="F125" s="535"/>
      <c r="G125" s="536"/>
      <c r="H125" s="536"/>
      <c r="I125" s="534" t="s">
        <v>522</v>
      </c>
      <c r="J125" s="537"/>
    </row>
    <row r="126" spans="2:10" ht="15.75">
      <c r="B126" s="518" t="s">
        <v>523</v>
      </c>
      <c r="C126" s="553"/>
      <c r="D126" s="538"/>
      <c r="E126" s="538" t="s">
        <v>523</v>
      </c>
      <c r="F126" s="539"/>
      <c r="G126" s="554"/>
      <c r="H126" s="554"/>
      <c r="I126" s="538" t="s">
        <v>523</v>
      </c>
      <c r="J126" s="541"/>
    </row>
    <row r="127" spans="2:10" ht="15.75">
      <c r="B127" s="518" t="s">
        <v>524</v>
      </c>
      <c r="C127" s="553"/>
      <c r="D127" s="538"/>
      <c r="E127" s="538" t="s">
        <v>524</v>
      </c>
      <c r="F127" s="539"/>
      <c r="G127" s="554"/>
      <c r="H127" s="554"/>
      <c r="I127" s="538" t="s">
        <v>524</v>
      </c>
      <c r="J127" s="541"/>
    </row>
    <row r="128" spans="2:10" ht="15.75">
      <c r="B128" s="542" t="s">
        <v>527</v>
      </c>
      <c r="C128" s="543"/>
      <c r="D128" s="544"/>
      <c r="E128" s="544" t="s">
        <v>527</v>
      </c>
      <c r="F128" s="545"/>
      <c r="G128" s="546"/>
      <c r="H128" s="546"/>
      <c r="I128" s="544" t="s">
        <v>527</v>
      </c>
      <c r="J128" s="547"/>
    </row>
    <row r="129" spans="2:10" ht="32.25" thickBot="1">
      <c r="B129" s="1727" t="s">
        <v>528</v>
      </c>
      <c r="C129" s="548"/>
      <c r="D129" s="549"/>
      <c r="E129" s="1726" t="s">
        <v>762</v>
      </c>
      <c r="F129" s="550"/>
      <c r="G129" s="551"/>
      <c r="H129" s="551"/>
      <c r="I129" s="1726" t="s">
        <v>762</v>
      </c>
      <c r="J129" s="552"/>
    </row>
    <row r="130" spans="2:10" ht="15.75">
      <c r="B130" s="511"/>
      <c r="C130" s="511"/>
      <c r="D130" s="511"/>
      <c r="E130" s="511"/>
      <c r="F130" s="511"/>
      <c r="G130" s="511"/>
      <c r="H130" s="511"/>
      <c r="I130" s="511"/>
      <c r="J130" s="511"/>
    </row>
    <row r="131" spans="2:10" ht="15.75">
      <c r="B131" s="813" t="s">
        <v>745</v>
      </c>
      <c r="C131" s="511"/>
      <c r="D131" s="511"/>
      <c r="E131" s="511"/>
      <c r="F131" s="511"/>
      <c r="G131" s="511"/>
      <c r="H131" s="511"/>
      <c r="I131" s="511"/>
      <c r="J131" s="511"/>
    </row>
    <row r="132" spans="2:10" ht="19.5" thickBot="1">
      <c r="B132" s="1671" t="s">
        <v>529</v>
      </c>
      <c r="C132" s="1670"/>
      <c r="D132" s="511"/>
      <c r="E132" s="511"/>
      <c r="F132" s="511"/>
      <c r="G132" s="511"/>
      <c r="H132" s="511"/>
      <c r="I132" s="511"/>
      <c r="J132" s="511"/>
    </row>
    <row r="133" spans="2:10" ht="15.75">
      <c r="B133" s="516"/>
      <c r="C133" s="555" t="s">
        <v>530</v>
      </c>
      <c r="D133" s="517"/>
      <c r="E133" s="516"/>
      <c r="F133" s="556"/>
      <c r="G133" s="556"/>
      <c r="H133" s="555" t="s">
        <v>531</v>
      </c>
      <c r="I133" s="555" t="s">
        <v>531</v>
      </c>
      <c r="J133" s="517"/>
    </row>
    <row r="134" spans="2:10" ht="15.75">
      <c r="B134" s="518" t="s">
        <v>522</v>
      </c>
      <c r="C134" s="519"/>
      <c r="D134" s="520"/>
      <c r="E134" s="518" t="s">
        <v>522</v>
      </c>
      <c r="F134" s="521"/>
      <c r="G134" s="521"/>
      <c r="H134" s="522"/>
      <c r="I134" s="522" t="s">
        <v>523</v>
      </c>
      <c r="J134" s="523"/>
    </row>
    <row r="135" spans="2:10" ht="15.75">
      <c r="B135" s="518" t="s">
        <v>523</v>
      </c>
      <c r="C135" s="519"/>
      <c r="D135" s="520"/>
      <c r="E135" s="518" t="s">
        <v>522</v>
      </c>
      <c r="F135" s="524"/>
      <c r="G135" s="524"/>
      <c r="H135" s="522"/>
      <c r="I135" s="522" t="s">
        <v>523</v>
      </c>
      <c r="J135" s="523"/>
    </row>
    <row r="136" spans="2:10" ht="15.75">
      <c r="B136" s="518" t="s">
        <v>524</v>
      </c>
      <c r="C136" s="519"/>
      <c r="D136" s="520"/>
      <c r="E136" s="518" t="s">
        <v>522</v>
      </c>
      <c r="F136" s="524"/>
      <c r="G136" s="524"/>
      <c r="H136" s="522"/>
      <c r="I136" s="522" t="s">
        <v>523</v>
      </c>
      <c r="J136" s="523"/>
    </row>
    <row r="137" spans="2:10" ht="16.5" thickBot="1">
      <c r="B137" s="525" t="s">
        <v>525</v>
      </c>
      <c r="C137" s="526"/>
      <c r="D137" s="527"/>
      <c r="E137" s="525" t="s">
        <v>522</v>
      </c>
      <c r="F137" s="528"/>
      <c r="G137" s="528"/>
      <c r="H137" s="529"/>
      <c r="I137" s="529" t="s">
        <v>523</v>
      </c>
      <c r="J137" s="530"/>
    </row>
    <row r="138" spans="2:10" ht="16.5" thickBot="1">
      <c r="B138" s="531"/>
      <c r="C138" s="511"/>
      <c r="D138" s="511"/>
      <c r="E138" s="511"/>
      <c r="F138" s="511"/>
      <c r="G138" s="511"/>
      <c r="H138" s="511"/>
      <c r="I138" s="511"/>
      <c r="J138" s="511"/>
    </row>
    <row r="139" spans="2:10" ht="15.75">
      <c r="B139" s="518" t="s">
        <v>522</v>
      </c>
      <c r="C139" s="533"/>
      <c r="D139" s="534"/>
      <c r="E139" s="1728" t="s">
        <v>522</v>
      </c>
      <c r="F139" s="535"/>
      <c r="G139" s="536"/>
      <c r="H139" s="536"/>
      <c r="I139" s="534" t="s">
        <v>522</v>
      </c>
      <c r="J139" s="537"/>
    </row>
    <row r="140" spans="2:10" ht="15.75">
      <c r="B140" s="518" t="s">
        <v>523</v>
      </c>
      <c r="C140" s="519"/>
      <c r="D140" s="538"/>
      <c r="E140" s="538" t="s">
        <v>523</v>
      </c>
      <c r="F140" s="539"/>
      <c r="G140" s="540"/>
      <c r="H140" s="540"/>
      <c r="I140" s="538" t="s">
        <v>523</v>
      </c>
      <c r="J140" s="541"/>
    </row>
    <row r="141" spans="2:10" ht="15.75">
      <c r="B141" s="518" t="s">
        <v>524</v>
      </c>
      <c r="C141" s="519"/>
      <c r="D141" s="538"/>
      <c r="E141" s="538" t="s">
        <v>524</v>
      </c>
      <c r="F141" s="539"/>
      <c r="G141" s="540"/>
      <c r="H141" s="540"/>
      <c r="I141" s="538" t="s">
        <v>524</v>
      </c>
      <c r="J141" s="541"/>
    </row>
    <row r="142" spans="2:10" ht="15.75">
      <c r="B142" s="542" t="s">
        <v>527</v>
      </c>
      <c r="C142" s="543"/>
      <c r="D142" s="544"/>
      <c r="E142" s="544" t="s">
        <v>527</v>
      </c>
      <c r="F142" s="545"/>
      <c r="G142" s="546"/>
      <c r="H142" s="546"/>
      <c r="I142" s="544" t="s">
        <v>527</v>
      </c>
      <c r="J142" s="547"/>
    </row>
    <row r="143" spans="2:10" ht="32.25" thickBot="1">
      <c r="B143" s="1727" t="s">
        <v>762</v>
      </c>
      <c r="C143" s="548"/>
      <c r="D143" s="549"/>
      <c r="E143" s="1726" t="s">
        <v>762</v>
      </c>
      <c r="F143" s="550"/>
      <c r="G143" s="551"/>
      <c r="H143" s="551"/>
      <c r="I143" s="1726" t="s">
        <v>762</v>
      </c>
      <c r="J143" s="552"/>
    </row>
    <row r="144" spans="2:10" ht="15.75">
      <c r="B144" s="518" t="s">
        <v>522</v>
      </c>
      <c r="C144" s="533"/>
      <c r="D144" s="534"/>
      <c r="E144" s="534" t="s">
        <v>522</v>
      </c>
      <c r="F144" s="535"/>
      <c r="G144" s="536"/>
      <c r="H144" s="536"/>
      <c r="I144" s="534" t="s">
        <v>522</v>
      </c>
      <c r="J144" s="537"/>
    </row>
    <row r="145" spans="2:10" ht="15.75">
      <c r="B145" s="518" t="s">
        <v>523</v>
      </c>
      <c r="C145" s="553"/>
      <c r="D145" s="538"/>
      <c r="E145" s="538" t="s">
        <v>523</v>
      </c>
      <c r="F145" s="539"/>
      <c r="G145" s="554"/>
      <c r="H145" s="554"/>
      <c r="I145" s="538" t="s">
        <v>523</v>
      </c>
      <c r="J145" s="541"/>
    </row>
    <row r="146" spans="2:10" ht="15.75">
      <c r="B146" s="518" t="s">
        <v>524</v>
      </c>
      <c r="C146" s="553"/>
      <c r="D146" s="538"/>
      <c r="E146" s="538" t="s">
        <v>524</v>
      </c>
      <c r="F146" s="539"/>
      <c r="G146" s="554"/>
      <c r="H146" s="554"/>
      <c r="I146" s="538" t="s">
        <v>524</v>
      </c>
      <c r="J146" s="541"/>
    </row>
    <row r="147" spans="2:10" ht="15.75">
      <c r="B147" s="542" t="s">
        <v>527</v>
      </c>
      <c r="C147" s="543"/>
      <c r="D147" s="544"/>
      <c r="E147" s="544" t="s">
        <v>527</v>
      </c>
      <c r="F147" s="545"/>
      <c r="G147" s="546"/>
      <c r="H147" s="546"/>
      <c r="I147" s="544" t="s">
        <v>527</v>
      </c>
      <c r="J147" s="547"/>
    </row>
    <row r="148" spans="2:10" ht="32.25" thickBot="1">
      <c r="B148" s="1727" t="s">
        <v>762</v>
      </c>
      <c r="C148" s="548"/>
      <c r="D148" s="549"/>
      <c r="E148" s="1726" t="s">
        <v>762</v>
      </c>
      <c r="F148" s="550"/>
      <c r="G148" s="551"/>
      <c r="H148" s="551"/>
      <c r="I148" s="1726" t="s">
        <v>762</v>
      </c>
      <c r="J148" s="552"/>
    </row>
    <row r="149" spans="2:8" ht="16.5" thickBot="1">
      <c r="B149" s="557"/>
      <c r="C149" s="558"/>
      <c r="D149" s="559"/>
      <c r="E149" s="560"/>
      <c r="F149" s="561"/>
      <c r="G149" s="559"/>
      <c r="H149" s="558"/>
    </row>
    <row r="150" spans="2:10" ht="30" customHeight="1" thickBot="1">
      <c r="B150" s="1872" t="s">
        <v>636</v>
      </c>
      <c r="C150" s="1873"/>
      <c r="D150" s="1873"/>
      <c r="E150" s="1873"/>
      <c r="F150" s="1873"/>
      <c r="G150" s="1873"/>
      <c r="H150" s="1873"/>
      <c r="I150" s="1874"/>
      <c r="J150" s="1379"/>
    </row>
    <row r="151" spans="2:8" ht="15.75">
      <c r="B151" s="515" t="s">
        <v>532</v>
      </c>
      <c r="C151" s="513"/>
      <c r="D151" s="559"/>
      <c r="E151" s="513"/>
      <c r="F151" s="513"/>
      <c r="G151" s="562"/>
      <c r="H151" s="562"/>
    </row>
    <row r="153" spans="2:5" ht="15.75">
      <c r="B153" s="72" t="s">
        <v>265</v>
      </c>
      <c r="C153" s="73">
        <f>_C000027</f>
        <v>0</v>
      </c>
      <c r="D153" s="12"/>
      <c r="E153" s="12"/>
    </row>
    <row r="154" spans="2:6" ht="16.5" thickBot="1">
      <c r="B154" s="72" t="s">
        <v>266</v>
      </c>
      <c r="C154" s="41">
        <f>+$I$8</f>
        <v>0</v>
      </c>
      <c r="D154" s="41"/>
      <c r="E154" s="41"/>
      <c r="F154" s="1" t="str">
        <f>$A$3</f>
        <v>NURSING FACILITY 2019 COST REPORT</v>
      </c>
    </row>
    <row r="155" spans="2:10" ht="18.75" thickBot="1">
      <c r="B155" s="1866" t="s">
        <v>743</v>
      </c>
      <c r="C155" s="1867"/>
      <c r="D155" s="1867"/>
      <c r="E155" s="1867"/>
      <c r="F155" s="1867"/>
      <c r="G155" s="1867"/>
      <c r="H155" s="1867"/>
      <c r="I155" s="1867"/>
      <c r="J155" s="1868"/>
    </row>
    <row r="156" spans="2:9" ht="15.75">
      <c r="B156" s="809"/>
      <c r="C156" s="809"/>
      <c r="D156" s="809"/>
      <c r="E156" s="809"/>
      <c r="F156" s="809"/>
      <c r="G156" s="809"/>
      <c r="H156" s="809"/>
      <c r="I156" s="809"/>
    </row>
    <row r="157" spans="2:9" ht="16.5" thickBot="1">
      <c r="B157" s="813" t="s">
        <v>746</v>
      </c>
      <c r="C157" s="814"/>
      <c r="D157" s="812"/>
      <c r="E157" s="812"/>
      <c r="F157" s="812"/>
      <c r="G157" s="814"/>
      <c r="H157" s="812"/>
      <c r="I157" s="812"/>
    </row>
    <row r="158" spans="2:10" ht="15.75">
      <c r="B158" s="1523" t="s">
        <v>668</v>
      </c>
      <c r="C158" s="815"/>
      <c r="D158" s="816"/>
      <c r="E158" s="817"/>
      <c r="F158" s="818"/>
      <c r="G158" s="818"/>
      <c r="H158" s="1521">
        <f>_M000031</f>
        <v>0</v>
      </c>
      <c r="I158" s="1520"/>
      <c r="J158" s="1522"/>
    </row>
    <row r="159" spans="2:10" ht="15.75">
      <c r="B159" s="1524" t="s">
        <v>759</v>
      </c>
      <c r="C159" s="821"/>
      <c r="D159" s="822"/>
      <c r="E159" s="823"/>
      <c r="F159" s="823"/>
      <c r="G159" s="824"/>
      <c r="I159" s="809"/>
      <c r="J159" s="1516"/>
    </row>
    <row r="160" spans="2:10" ht="15.75">
      <c r="B160" s="1524" t="s">
        <v>633</v>
      </c>
      <c r="C160" s="821"/>
      <c r="D160" s="823"/>
      <c r="E160" s="825"/>
      <c r="F160" s="825"/>
      <c r="G160" s="826"/>
      <c r="I160" s="1667"/>
      <c r="J160" s="828"/>
    </row>
    <row r="161" spans="2:10" ht="15.75">
      <c r="B161" s="829"/>
      <c r="C161" s="830"/>
      <c r="D161" s="831"/>
      <c r="E161" s="831"/>
      <c r="F161" s="830"/>
      <c r="G161" s="832"/>
      <c r="H161" s="832"/>
      <c r="I161" s="832"/>
      <c r="J161" s="833"/>
    </row>
    <row r="162" spans="2:10" ht="15.75">
      <c r="B162" s="1668" t="s">
        <v>248</v>
      </c>
      <c r="C162" s="811"/>
      <c r="D162" s="810"/>
      <c r="E162" s="810"/>
      <c r="F162" s="834"/>
      <c r="G162" s="835"/>
      <c r="I162" s="835"/>
      <c r="J162" s="836"/>
    </row>
    <row r="163" spans="2:10" ht="15.75">
      <c r="B163" s="1527" t="s">
        <v>249</v>
      </c>
      <c r="C163" s="837"/>
      <c r="D163" s="831"/>
      <c r="E163" s="831"/>
      <c r="F163" s="830"/>
      <c r="G163" s="832"/>
      <c r="H163" s="832"/>
      <c r="I163" s="832"/>
      <c r="J163" s="833"/>
    </row>
    <row r="164" spans="2:10" ht="15.75">
      <c r="B164" s="1669" t="s">
        <v>760</v>
      </c>
      <c r="D164" s="838"/>
      <c r="E164" s="839" t="s">
        <v>269</v>
      </c>
      <c r="F164" s="840"/>
      <c r="G164" s="841"/>
      <c r="H164" s="841"/>
      <c r="I164" s="842" t="s">
        <v>250</v>
      </c>
      <c r="J164" s="843" t="s">
        <v>270</v>
      </c>
    </row>
    <row r="165" spans="2:10" ht="15.75">
      <c r="B165" s="1529"/>
      <c r="C165" s="12"/>
      <c r="D165" s="844"/>
      <c r="E165" s="845"/>
      <c r="F165" s="846"/>
      <c r="G165" s="847"/>
      <c r="H165" s="847"/>
      <c r="I165" s="848"/>
      <c r="J165" s="849"/>
    </row>
    <row r="166" spans="2:10" ht="15.75">
      <c r="B166" s="1528" t="s">
        <v>760</v>
      </c>
      <c r="D166" s="838"/>
      <c r="E166" s="839" t="s">
        <v>269</v>
      </c>
      <c r="F166" s="840"/>
      <c r="G166" s="841"/>
      <c r="H166" s="841"/>
      <c r="I166" s="842" t="s">
        <v>250</v>
      </c>
      <c r="J166" s="843" t="s">
        <v>270</v>
      </c>
    </row>
    <row r="167" spans="2:10" ht="15.75">
      <c r="B167" s="1529"/>
      <c r="C167" s="12"/>
      <c r="D167" s="844"/>
      <c r="E167" s="845"/>
      <c r="F167" s="846"/>
      <c r="G167" s="847"/>
      <c r="H167" s="847"/>
      <c r="I167" s="848"/>
      <c r="J167" s="849"/>
    </row>
    <row r="168" spans="2:10" ht="15.75">
      <c r="B168" s="1528" t="s">
        <v>760</v>
      </c>
      <c r="D168" s="838"/>
      <c r="E168" s="839" t="s">
        <v>269</v>
      </c>
      <c r="F168" s="840"/>
      <c r="G168" s="841"/>
      <c r="H168" s="841"/>
      <c r="I168" s="842" t="s">
        <v>250</v>
      </c>
      <c r="J168" s="843" t="s">
        <v>270</v>
      </c>
    </row>
    <row r="169" spans="2:10" ht="15.75">
      <c r="B169" s="1529"/>
      <c r="C169" s="12"/>
      <c r="D169" s="844"/>
      <c r="E169" s="845"/>
      <c r="F169" s="846"/>
      <c r="G169" s="847"/>
      <c r="H169" s="847"/>
      <c r="I169" s="848"/>
      <c r="J169" s="849"/>
    </row>
    <row r="170" spans="2:10" ht="15.75">
      <c r="B170" s="1528" t="s">
        <v>760</v>
      </c>
      <c r="D170" s="838"/>
      <c r="E170" s="839" t="s">
        <v>269</v>
      </c>
      <c r="F170" s="840"/>
      <c r="G170" s="841"/>
      <c r="H170" s="841"/>
      <c r="I170" s="842" t="s">
        <v>250</v>
      </c>
      <c r="J170" s="843" t="s">
        <v>270</v>
      </c>
    </row>
    <row r="171" spans="2:10" ht="15.75">
      <c r="B171" s="1529"/>
      <c r="C171" s="12"/>
      <c r="D171" s="844"/>
      <c r="E171" s="845"/>
      <c r="F171" s="846"/>
      <c r="G171" s="847"/>
      <c r="H171" s="847"/>
      <c r="I171" s="848"/>
      <c r="J171" s="849"/>
    </row>
    <row r="172" spans="2:10" ht="15.75">
      <c r="B172" s="1528" t="s">
        <v>760</v>
      </c>
      <c r="D172" s="838"/>
      <c r="E172" s="839" t="s">
        <v>269</v>
      </c>
      <c r="F172" s="840"/>
      <c r="G172" s="841"/>
      <c r="H172" s="841"/>
      <c r="I172" s="842" t="s">
        <v>250</v>
      </c>
      <c r="J172" s="843" t="s">
        <v>270</v>
      </c>
    </row>
    <row r="173" spans="2:10" ht="16.5" thickBot="1">
      <c r="B173" s="1531"/>
      <c r="C173" s="30"/>
      <c r="D173" s="850"/>
      <c r="E173" s="851"/>
      <c r="F173" s="852"/>
      <c r="G173" s="853"/>
      <c r="H173" s="853"/>
      <c r="I173" s="854"/>
      <c r="J173" s="855"/>
    </row>
    <row r="174" spans="2:10" ht="15.75">
      <c r="B174" s="809"/>
      <c r="C174" s="809"/>
      <c r="D174" s="809"/>
      <c r="E174" s="809"/>
      <c r="F174" s="809"/>
      <c r="G174" s="809"/>
      <c r="I174" s="809"/>
      <c r="J174" s="809"/>
    </row>
    <row r="175" spans="2:10" ht="15.75">
      <c r="B175" s="809"/>
      <c r="C175" s="809"/>
      <c r="D175" s="809"/>
      <c r="E175" s="809"/>
      <c r="F175" s="809"/>
      <c r="G175" s="809"/>
      <c r="I175" s="809"/>
      <c r="J175" s="809"/>
    </row>
    <row r="176" spans="2:10" ht="16.5" thickBot="1">
      <c r="B176" s="813" t="s">
        <v>747</v>
      </c>
      <c r="C176" s="814"/>
      <c r="D176" s="812"/>
      <c r="E176" s="812"/>
      <c r="F176" s="812"/>
      <c r="G176" s="814"/>
      <c r="I176" s="812"/>
      <c r="J176" s="812"/>
    </row>
    <row r="177" spans="2:10" ht="15.75">
      <c r="B177" s="1523" t="s">
        <v>669</v>
      </c>
      <c r="C177" s="66"/>
      <c r="D177" s="816"/>
      <c r="E177" s="817"/>
      <c r="F177" s="818"/>
      <c r="G177" s="856"/>
      <c r="H177" s="856"/>
      <c r="I177" s="819"/>
      <c r="J177" s="820"/>
    </row>
    <row r="178" spans="2:10" ht="15.75">
      <c r="B178" s="1524" t="s">
        <v>759</v>
      </c>
      <c r="D178" s="822"/>
      <c r="E178" s="823"/>
      <c r="F178" s="823"/>
      <c r="G178" s="824"/>
      <c r="H178" s="824"/>
      <c r="I178" s="823"/>
      <c r="J178" s="857"/>
    </row>
    <row r="179" spans="2:10" ht="15.75">
      <c r="B179" s="1524" t="s">
        <v>633</v>
      </c>
      <c r="D179" s="858"/>
      <c r="E179" s="825"/>
      <c r="F179" s="859"/>
      <c r="G179" s="826"/>
      <c r="H179" s="826"/>
      <c r="I179" s="827"/>
      <c r="J179" s="828"/>
    </row>
    <row r="180" spans="2:10" ht="15.75">
      <c r="B180" s="1525"/>
      <c r="D180" s="940"/>
      <c r="E180" s="941"/>
      <c r="F180" s="941"/>
      <c r="G180" s="942"/>
      <c r="H180" s="942"/>
      <c r="I180" s="943"/>
      <c r="J180" s="1519"/>
    </row>
    <row r="181" spans="2:10" ht="15.75">
      <c r="B181" s="1526" t="s">
        <v>248</v>
      </c>
      <c r="D181" s="810"/>
      <c r="E181" s="810"/>
      <c r="F181" s="834"/>
      <c r="G181" s="835"/>
      <c r="H181" s="835"/>
      <c r="I181" s="835"/>
      <c r="J181" s="836"/>
    </row>
    <row r="182" spans="2:10" ht="15.75">
      <c r="B182" s="1527" t="s">
        <v>251</v>
      </c>
      <c r="D182" s="831"/>
      <c r="E182" s="831"/>
      <c r="F182" s="830"/>
      <c r="G182" s="832"/>
      <c r="H182" s="832"/>
      <c r="I182" s="832"/>
      <c r="J182" s="833"/>
    </row>
    <row r="183" spans="2:10" ht="15.75">
      <c r="B183" s="1528" t="s">
        <v>760</v>
      </c>
      <c r="C183" s="1532"/>
      <c r="D183" s="838"/>
      <c r="E183" s="839" t="s">
        <v>269</v>
      </c>
      <c r="F183" s="840"/>
      <c r="G183" s="841"/>
      <c r="H183" s="841"/>
      <c r="I183" s="842" t="s">
        <v>250</v>
      </c>
      <c r="J183" s="843" t="s">
        <v>270</v>
      </c>
    </row>
    <row r="184" spans="2:10" ht="15.75">
      <c r="B184" s="1529"/>
      <c r="C184" s="12"/>
      <c r="D184" s="844"/>
      <c r="E184" s="845"/>
      <c r="F184" s="846"/>
      <c r="G184" s="847"/>
      <c r="H184" s="847"/>
      <c r="I184" s="848"/>
      <c r="J184" s="849"/>
    </row>
    <row r="185" spans="2:10" ht="15.75">
      <c r="B185" s="1528" t="s">
        <v>760</v>
      </c>
      <c r="D185" s="838"/>
      <c r="E185" s="839" t="s">
        <v>269</v>
      </c>
      <c r="F185" s="840"/>
      <c r="G185" s="841"/>
      <c r="H185" s="841"/>
      <c r="I185" s="842" t="s">
        <v>250</v>
      </c>
      <c r="J185" s="843" t="s">
        <v>270</v>
      </c>
    </row>
    <row r="186" spans="2:10" ht="15.75">
      <c r="B186" s="1530"/>
      <c r="C186" s="12"/>
      <c r="D186" s="844"/>
      <c r="E186" s="845"/>
      <c r="F186" s="846"/>
      <c r="G186" s="847"/>
      <c r="H186" s="847"/>
      <c r="I186" s="848"/>
      <c r="J186" s="849"/>
    </row>
    <row r="187" spans="2:10" ht="15.75">
      <c r="B187" s="1528" t="s">
        <v>760</v>
      </c>
      <c r="D187" s="838"/>
      <c r="E187" s="839" t="s">
        <v>269</v>
      </c>
      <c r="F187" s="840"/>
      <c r="G187" s="841"/>
      <c r="H187" s="841"/>
      <c r="I187" s="842" t="s">
        <v>250</v>
      </c>
      <c r="J187" s="843" t="s">
        <v>270</v>
      </c>
    </row>
    <row r="188" spans="2:10" ht="15.75">
      <c r="B188" s="1530"/>
      <c r="C188" s="12"/>
      <c r="D188" s="831"/>
      <c r="E188" s="845"/>
      <c r="F188" s="830"/>
      <c r="G188" s="832"/>
      <c r="H188" s="832"/>
      <c r="I188" s="848"/>
      <c r="J188" s="849"/>
    </row>
    <row r="189" spans="2:10" ht="15.75">
      <c r="B189" s="1528" t="s">
        <v>760</v>
      </c>
      <c r="D189" s="838"/>
      <c r="E189" s="839" t="s">
        <v>269</v>
      </c>
      <c r="F189" s="840"/>
      <c r="G189" s="841"/>
      <c r="H189" s="841"/>
      <c r="I189" s="842" t="s">
        <v>250</v>
      </c>
      <c r="J189" s="843" t="s">
        <v>270</v>
      </c>
    </row>
    <row r="190" spans="2:10" ht="16.5" thickBot="1">
      <c r="B190" s="1531"/>
      <c r="C190" s="30"/>
      <c r="D190" s="860"/>
      <c r="E190" s="851"/>
      <c r="F190" s="861"/>
      <c r="G190" s="862"/>
      <c r="H190" s="862"/>
      <c r="I190" s="854"/>
      <c r="J190" s="855"/>
    </row>
    <row r="191" spans="2:10" ht="15.75">
      <c r="B191" s="809"/>
      <c r="C191" s="809"/>
      <c r="D191" s="809"/>
      <c r="E191" s="809"/>
      <c r="F191" s="809"/>
      <c r="G191" s="809"/>
      <c r="I191" s="809"/>
      <c r="J191" s="809"/>
    </row>
    <row r="192" spans="2:10" ht="15.75">
      <c r="B192" s="809"/>
      <c r="C192" s="809"/>
      <c r="D192" s="809"/>
      <c r="E192" s="809"/>
      <c r="F192" s="809"/>
      <c r="G192" s="809"/>
      <c r="I192" s="809"/>
      <c r="J192" s="809"/>
    </row>
    <row r="193" spans="2:10" ht="16.5" thickBot="1">
      <c r="B193" s="813" t="s">
        <v>748</v>
      </c>
      <c r="C193" s="814"/>
      <c r="D193" s="812"/>
      <c r="E193" s="812"/>
      <c r="F193" s="812"/>
      <c r="G193" s="814"/>
      <c r="I193" s="812"/>
      <c r="J193" s="812"/>
    </row>
    <row r="194" spans="2:10" ht="15.75">
      <c r="B194" s="1523" t="s">
        <v>669</v>
      </c>
      <c r="C194" s="816"/>
      <c r="D194" s="816"/>
      <c r="E194" s="817"/>
      <c r="F194" s="818"/>
      <c r="G194" s="863"/>
      <c r="H194" s="863"/>
      <c r="I194" s="819"/>
      <c r="J194" s="820"/>
    </row>
    <row r="195" spans="2:10" ht="15.75">
      <c r="B195" s="1524" t="s">
        <v>759</v>
      </c>
      <c r="C195" s="822"/>
      <c r="D195" s="822"/>
      <c r="E195" s="823"/>
      <c r="F195" s="823"/>
      <c r="G195" s="824"/>
      <c r="H195" s="824"/>
      <c r="I195" s="823"/>
      <c r="J195" s="857"/>
    </row>
    <row r="196" spans="2:10" ht="15.75">
      <c r="B196" s="1524" t="s">
        <v>633</v>
      </c>
      <c r="C196" s="858"/>
      <c r="D196" s="858"/>
      <c r="E196" s="825"/>
      <c r="F196" s="859"/>
      <c r="G196" s="826"/>
      <c r="H196" s="826"/>
      <c r="I196" s="827"/>
      <c r="J196" s="1517"/>
    </row>
    <row r="197" spans="2:10" ht="15.75">
      <c r="B197" s="1525"/>
      <c r="C197" s="940"/>
      <c r="D197" s="940"/>
      <c r="E197" s="941"/>
      <c r="F197" s="941"/>
      <c r="G197" s="942"/>
      <c r="H197" s="942"/>
      <c r="I197" s="943"/>
      <c r="J197" s="1518"/>
    </row>
    <row r="198" spans="2:10" ht="15.75">
      <c r="B198" s="1526" t="s">
        <v>248</v>
      </c>
      <c r="C198" s="810"/>
      <c r="D198" s="810"/>
      <c r="E198" s="810"/>
      <c r="F198" s="834"/>
      <c r="G198" s="835"/>
      <c r="H198" s="835"/>
      <c r="I198" s="835"/>
      <c r="J198" s="836"/>
    </row>
    <row r="199" spans="2:10" ht="15.75">
      <c r="B199" s="1527" t="s">
        <v>251</v>
      </c>
      <c r="C199" s="831"/>
      <c r="D199" s="831"/>
      <c r="E199" s="831"/>
      <c r="F199" s="830"/>
      <c r="G199" s="832"/>
      <c r="H199" s="832"/>
      <c r="I199" s="832"/>
      <c r="J199" s="833"/>
    </row>
    <row r="200" spans="2:10" ht="15.75">
      <c r="B200" s="1528" t="s">
        <v>760</v>
      </c>
      <c r="C200" s="838"/>
      <c r="D200" s="838"/>
      <c r="E200" s="839" t="s">
        <v>269</v>
      </c>
      <c r="F200" s="840"/>
      <c r="G200" s="841"/>
      <c r="H200" s="841"/>
      <c r="I200" s="842" t="s">
        <v>250</v>
      </c>
      <c r="J200" s="843" t="s">
        <v>270</v>
      </c>
    </row>
    <row r="201" spans="2:10" ht="15.75">
      <c r="B201" s="1530"/>
      <c r="C201" s="844"/>
      <c r="D201" s="844"/>
      <c r="E201" s="845"/>
      <c r="F201" s="830"/>
      <c r="G201" s="832"/>
      <c r="H201" s="832"/>
      <c r="I201" s="848"/>
      <c r="J201" s="849"/>
    </row>
    <row r="202" spans="2:10" ht="15.75">
      <c r="B202" s="1528" t="s">
        <v>760</v>
      </c>
      <c r="C202" s="838"/>
      <c r="D202" s="838"/>
      <c r="E202" s="839" t="s">
        <v>269</v>
      </c>
      <c r="F202" s="840"/>
      <c r="G202" s="841"/>
      <c r="H202" s="841"/>
      <c r="I202" s="842" t="s">
        <v>250</v>
      </c>
      <c r="J202" s="843" t="s">
        <v>270</v>
      </c>
    </row>
    <row r="203" spans="2:10" ht="15.75">
      <c r="B203" s="1530"/>
      <c r="C203" s="844"/>
      <c r="D203" s="844"/>
      <c r="E203" s="845"/>
      <c r="F203" s="830"/>
      <c r="G203" s="832"/>
      <c r="H203" s="832"/>
      <c r="I203" s="848"/>
      <c r="J203" s="849"/>
    </row>
    <row r="204" spans="2:10" ht="15.75">
      <c r="B204" s="1528" t="s">
        <v>760</v>
      </c>
      <c r="C204" s="838"/>
      <c r="D204" s="838"/>
      <c r="E204" s="839" t="s">
        <v>269</v>
      </c>
      <c r="F204" s="840"/>
      <c r="G204" s="841"/>
      <c r="H204" s="841"/>
      <c r="I204" s="842" t="s">
        <v>250</v>
      </c>
      <c r="J204" s="843" t="s">
        <v>270</v>
      </c>
    </row>
    <row r="205" spans="2:10" ht="15.75">
      <c r="B205" s="1530"/>
      <c r="C205" s="831"/>
      <c r="D205" s="831"/>
      <c r="E205" s="845"/>
      <c r="F205" s="830"/>
      <c r="G205" s="832"/>
      <c r="H205" s="832"/>
      <c r="I205" s="848"/>
      <c r="J205" s="849"/>
    </row>
    <row r="206" spans="2:10" ht="15.75">
      <c r="B206" s="1528" t="s">
        <v>760</v>
      </c>
      <c r="C206" s="838"/>
      <c r="D206" s="838"/>
      <c r="E206" s="839" t="s">
        <v>269</v>
      </c>
      <c r="F206" s="840"/>
      <c r="G206" s="841"/>
      <c r="H206" s="841"/>
      <c r="I206" s="842" t="s">
        <v>250</v>
      </c>
      <c r="J206" s="843" t="s">
        <v>270</v>
      </c>
    </row>
    <row r="207" spans="2:10" ht="16.5" thickBot="1">
      <c r="B207" s="1531"/>
      <c r="C207" s="860"/>
      <c r="D207" s="860"/>
      <c r="E207" s="851"/>
      <c r="F207" s="861"/>
      <c r="G207" s="862"/>
      <c r="H207" s="862"/>
      <c r="I207" s="854"/>
      <c r="J207" s="855"/>
    </row>
  </sheetData>
  <sheetProtection password="EE7C" sheet="1"/>
  <mergeCells count="5">
    <mergeCell ref="G8:H8"/>
    <mergeCell ref="B111:I111"/>
    <mergeCell ref="B155:J155"/>
    <mergeCell ref="B62:J62"/>
    <mergeCell ref="B150:I150"/>
  </mergeCells>
  <dataValidations count="8">
    <dataValidation type="whole" allowBlank="1" showInputMessage="1" showErrorMessage="1" promptTitle="Input 7 digit vendor number" prompt="Input 7 digit vendor number with no dashes, no letters, no other characters" errorTitle="Invalid vendor number" error="Cell only accepts 7 digit vendor number" sqref="I8">
      <formula1>4000000</formula1>
      <formula2>4299999</formula2>
    </dataValidation>
    <dataValidation type="whole" allowBlank="1" showInputMessage="1" showErrorMessage="1" promptTitle="National Provider Number " prompt="Input a 10 digit number." errorTitle="National Provider Number" error="Error! Need to Input a 10 digit number!" sqref="G8:H8">
      <formula1>1000000000</formula1>
      <formula2>9999999999</formula2>
    </dataValidation>
    <dataValidation type="whole" allowBlank="1" showInputMessage="1" showErrorMessage="1" promptTitle="Providerone ID Number" prompt="Input a 9 digit number that has 2 zeros at the end.  For example: 104461100." errorTitle="Providerone ID Number" error="Error! Input a 9 digit number that has 2 zeros at the end.  For example: 104461100." sqref="I10">
      <formula1>100000000</formula1>
      <formula2>999999999</formula2>
    </dataValidation>
    <dataValidation allowBlank="1" showInputMessage="1" showErrorMessage="1" promptTitle="Home Office Name Validation" prompt="Enter NA only if no Home Office.  Otherwise enter the Home Office Name.  Do not leave blank." sqref="B16"/>
    <dataValidation allowBlank="1" showInputMessage="1" showErrorMessage="1" promptTitle="Related Party Validation" prompt="Input Yes or No.  Do not leave blank" sqref="J150"/>
    <dataValidation allowBlank="1" showInputMessage="1" showErrorMessage="1" promptTitle="Home Office Validation" prompt="Enter Home Office Name or NA if no Home Office.  Do not leave blank" sqref="B18"/>
    <dataValidation allowBlank="1" showInputMessage="1" showErrorMessage="1" promptTitle="Related Party Lease Validation" prompt="Enter Yes, No, or NA. Do not leave blank." sqref="I87"/>
    <dataValidation allowBlank="1" showInputMessage="1" showErrorMessage="1" promptTitle="Allocated Expenses Validation" prompt="Enter NA if no allocated expenses." sqref="J111"/>
  </dataValidations>
  <printOptions horizontalCentered="1"/>
  <pageMargins left="0.2" right="0.2" top="0.2" bottom="0.35" header="0.25" footer="0.21"/>
  <pageSetup fitToHeight="0" horizontalDpi="600" verticalDpi="600" orientation="portrait" scale="70" r:id="rId2"/>
  <headerFooter alignWithMargins="0">
    <oddFooter>&amp;L&amp;8DSHS 23-003 &amp;C&amp;P&amp;R&amp;8Schedule A   (Page &amp;P of 4)</oddFooter>
  </headerFooter>
  <rowBreaks count="3" manualBreakCount="3">
    <brk id="58" max="255" man="1"/>
    <brk id="107" max="255" man="1"/>
    <brk id="151"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L131"/>
  <sheetViews>
    <sheetView zoomScale="90" zoomScaleNormal="90" zoomScalePageLayoutView="90" workbookViewId="0" topLeftCell="A1">
      <selection activeCell="D2" sqref="D2"/>
    </sheetView>
  </sheetViews>
  <sheetFormatPr defaultColWidth="9.140625" defaultRowHeight="12.75"/>
  <cols>
    <col min="1" max="1" width="4.7109375" style="99" customWidth="1"/>
    <col min="2" max="2" width="4.8515625" style="99" customWidth="1"/>
    <col min="3" max="3" width="5.8515625" style="99" customWidth="1"/>
    <col min="4" max="4" width="34.57421875" style="99" customWidth="1"/>
    <col min="5" max="5" width="13.00390625" style="99" customWidth="1"/>
    <col min="6" max="6" width="14.421875" style="99" customWidth="1"/>
    <col min="7" max="7" width="14.7109375" style="99" customWidth="1"/>
    <col min="8" max="9" width="14.421875" style="99" customWidth="1"/>
    <col min="10" max="10" width="21.00390625" style="99" customWidth="1"/>
    <col min="11" max="11" width="21.140625" style="99" customWidth="1"/>
    <col min="12" max="12" width="4.7109375" style="99" customWidth="1"/>
    <col min="13" max="16384" width="9.140625" style="99" customWidth="1"/>
  </cols>
  <sheetData>
    <row r="1" spans="3:5" ht="15.75">
      <c r="C1" s="100" t="s">
        <v>265</v>
      </c>
      <c r="D1" s="920">
        <f>_C000027</f>
        <v>0</v>
      </c>
      <c r="E1" s="101"/>
    </row>
    <row r="2" spans="3:5" ht="15.75">
      <c r="C2" s="100" t="s">
        <v>266</v>
      </c>
      <c r="D2" s="102">
        <f>+Schedule_A!$I$8</f>
        <v>0</v>
      </c>
      <c r="E2" s="101" t="str">
        <f>Schedule_A!A3</f>
        <v>NURSING FACILITY 2019 COST REPORT</v>
      </c>
    </row>
    <row r="3" spans="3:5" ht="15.75" customHeight="1">
      <c r="C3" s="100"/>
      <c r="D3" s="103"/>
      <c r="E3" s="101"/>
    </row>
    <row r="4" spans="1:12" ht="18">
      <c r="A4" s="104" t="s">
        <v>459</v>
      </c>
      <c r="B4" s="105"/>
      <c r="C4" s="105"/>
      <c r="D4" s="105"/>
      <c r="E4" s="105"/>
      <c r="F4" s="105"/>
      <c r="G4" s="105"/>
      <c r="H4" s="105"/>
      <c r="I4" s="105"/>
      <c r="J4" s="105"/>
      <c r="K4" s="105"/>
      <c r="L4" s="105"/>
    </row>
    <row r="5" ht="6" customHeight="1"/>
    <row r="6" ht="6" customHeight="1"/>
    <row r="7" spans="1:12" ht="18">
      <c r="A7" s="104" t="s">
        <v>460</v>
      </c>
      <c r="B7" s="106"/>
      <c r="C7" s="106"/>
      <c r="D7" s="106"/>
      <c r="E7" s="106"/>
      <c r="F7" s="106"/>
      <c r="G7" s="106"/>
      <c r="H7" s="106"/>
      <c r="I7" s="106"/>
      <c r="J7" s="106"/>
      <c r="K7" s="106"/>
      <c r="L7" s="106"/>
    </row>
    <row r="8" spans="2:6" ht="15.75">
      <c r="B8" s="107" t="s">
        <v>461</v>
      </c>
      <c r="C8" s="105"/>
      <c r="D8" s="105"/>
      <c r="F8" s="108"/>
    </row>
    <row r="9" spans="2:6" ht="15.75">
      <c r="B9" s="109"/>
      <c r="C9" s="110"/>
      <c r="D9" s="109"/>
      <c r="F9" s="111"/>
    </row>
    <row r="10" ht="16.5" thickBot="1">
      <c r="B10" s="112" t="s">
        <v>462</v>
      </c>
    </row>
    <row r="11" spans="2:11" ht="66" customHeight="1">
      <c r="B11" s="113" t="s">
        <v>463</v>
      </c>
      <c r="C11" s="114" t="s">
        <v>464</v>
      </c>
      <c r="D11" s="115"/>
      <c r="E11" s="116" t="s">
        <v>465</v>
      </c>
      <c r="F11" s="116" t="s">
        <v>466</v>
      </c>
      <c r="G11" s="116" t="s">
        <v>467</v>
      </c>
      <c r="H11" s="117" t="s">
        <v>468</v>
      </c>
      <c r="I11" s="118"/>
      <c r="J11" s="1021" t="s">
        <v>469</v>
      </c>
      <c r="K11" s="220" t="s">
        <v>470</v>
      </c>
    </row>
    <row r="12" spans="2:11" ht="15.75">
      <c r="B12" s="119"/>
      <c r="C12" s="120"/>
      <c r="D12" s="121"/>
      <c r="E12" s="122"/>
      <c r="F12" s="122"/>
      <c r="G12" s="122"/>
      <c r="H12" s="122" t="s">
        <v>471</v>
      </c>
      <c r="I12" s="122" t="s">
        <v>472</v>
      </c>
      <c r="J12" s="1022"/>
      <c r="K12" s="1015"/>
    </row>
    <row r="13" spans="2:11" s="123" customFormat="1" ht="12.75">
      <c r="B13" s="124"/>
      <c r="C13" s="125"/>
      <c r="D13" s="126"/>
      <c r="E13" s="127" t="s">
        <v>473</v>
      </c>
      <c r="F13" s="127" t="s">
        <v>474</v>
      </c>
      <c r="G13" s="127" t="s">
        <v>475</v>
      </c>
      <c r="H13" s="127" t="s">
        <v>476</v>
      </c>
      <c r="I13" s="127" t="s">
        <v>477</v>
      </c>
      <c r="J13" s="1023" t="s">
        <v>478</v>
      </c>
      <c r="K13" s="1016" t="s">
        <v>479</v>
      </c>
    </row>
    <row r="14" spans="2:11" ht="18.75">
      <c r="B14" s="128">
        <v>1</v>
      </c>
      <c r="C14" s="129" t="s">
        <v>480</v>
      </c>
      <c r="D14" s="130"/>
      <c r="E14" s="131"/>
      <c r="F14" s="131"/>
      <c r="G14" s="131"/>
      <c r="H14" s="131"/>
      <c r="I14" s="131"/>
      <c r="J14" s="1024"/>
      <c r="K14" s="1017"/>
    </row>
    <row r="15" spans="2:11" ht="16.5" customHeight="1">
      <c r="B15" s="128">
        <v>2</v>
      </c>
      <c r="C15" s="132"/>
      <c r="D15" s="130" t="s">
        <v>481</v>
      </c>
      <c r="E15" s="133">
        <v>1110</v>
      </c>
      <c r="F15" s="1191"/>
      <c r="G15" s="1191"/>
      <c r="H15" s="1191"/>
      <c r="I15" s="1191"/>
      <c r="J15" s="1200">
        <f aca="true" t="shared" si="0" ref="J15:J23">+G15+H15-I15</f>
        <v>0</v>
      </c>
      <c r="K15" s="1138"/>
    </row>
    <row r="16" spans="2:11" ht="16.5" customHeight="1">
      <c r="B16" s="128">
        <v>3</v>
      </c>
      <c r="C16" s="135"/>
      <c r="D16" s="130" t="s">
        <v>482</v>
      </c>
      <c r="E16" s="133">
        <v>1120</v>
      </c>
      <c r="F16" s="1192"/>
      <c r="G16" s="1191"/>
      <c r="H16" s="1191"/>
      <c r="I16" s="1191"/>
      <c r="J16" s="1200">
        <f t="shared" si="0"/>
        <v>0</v>
      </c>
      <c r="K16" s="1138"/>
    </row>
    <row r="17" spans="2:11" ht="16.5" customHeight="1">
      <c r="B17" s="128">
        <v>4</v>
      </c>
      <c r="C17" s="135"/>
      <c r="D17" s="130" t="s">
        <v>483</v>
      </c>
      <c r="E17" s="133">
        <v>1130</v>
      </c>
      <c r="F17" s="1191"/>
      <c r="G17" s="1191"/>
      <c r="H17" s="1191"/>
      <c r="I17" s="1191"/>
      <c r="J17" s="1200">
        <f t="shared" si="0"/>
        <v>0</v>
      </c>
      <c r="K17" s="1138"/>
    </row>
    <row r="18" spans="2:11" ht="16.5" customHeight="1">
      <c r="B18" s="136">
        <v>5</v>
      </c>
      <c r="C18" s="135"/>
      <c r="D18" s="137" t="s">
        <v>749</v>
      </c>
      <c r="E18" s="138">
        <v>1140</v>
      </c>
      <c r="F18" s="1193"/>
      <c r="G18" s="1193"/>
      <c r="H18" s="1193"/>
      <c r="I18" s="1193"/>
      <c r="J18" s="1202">
        <f t="shared" si="0"/>
        <v>0</v>
      </c>
      <c r="K18" s="1139"/>
    </row>
    <row r="19" spans="2:11" ht="31.5">
      <c r="B19" s="136">
        <v>6</v>
      </c>
      <c r="C19" s="135"/>
      <c r="D19" s="137" t="s">
        <v>484</v>
      </c>
      <c r="E19" s="138">
        <v>1150</v>
      </c>
      <c r="F19" s="1193"/>
      <c r="G19" s="1193"/>
      <c r="H19" s="1193"/>
      <c r="I19" s="1193"/>
      <c r="J19" s="1202">
        <f t="shared" si="0"/>
        <v>0</v>
      </c>
      <c r="K19" s="1139"/>
    </row>
    <row r="20" spans="2:11" ht="16.5" customHeight="1">
      <c r="B20" s="128">
        <v>7</v>
      </c>
      <c r="C20" s="135"/>
      <c r="D20" s="130" t="s">
        <v>485</v>
      </c>
      <c r="E20" s="133">
        <v>1160</v>
      </c>
      <c r="F20" s="1191"/>
      <c r="G20" s="1191"/>
      <c r="H20" s="1191"/>
      <c r="I20" s="1191"/>
      <c r="J20" s="1200">
        <f t="shared" si="0"/>
        <v>0</v>
      </c>
      <c r="K20" s="1138"/>
    </row>
    <row r="21" spans="2:11" ht="16.5" customHeight="1">
      <c r="B21" s="128">
        <v>8</v>
      </c>
      <c r="C21" s="135"/>
      <c r="D21" s="130" t="s">
        <v>486</v>
      </c>
      <c r="E21" s="133">
        <v>1170</v>
      </c>
      <c r="F21" s="1191"/>
      <c r="G21" s="1191"/>
      <c r="H21" s="1191"/>
      <c r="I21" s="1191"/>
      <c r="J21" s="1200">
        <f t="shared" si="0"/>
        <v>0</v>
      </c>
      <c r="K21" s="1138"/>
    </row>
    <row r="22" spans="2:11" ht="16.5" customHeight="1">
      <c r="B22" s="128">
        <v>9</v>
      </c>
      <c r="C22" s="135"/>
      <c r="D22" s="130" t="s">
        <v>487</v>
      </c>
      <c r="E22" s="133">
        <v>1180</v>
      </c>
      <c r="F22" s="1191"/>
      <c r="G22" s="1191"/>
      <c r="H22" s="1191"/>
      <c r="I22" s="1191"/>
      <c r="J22" s="1200">
        <f t="shared" si="0"/>
        <v>0</v>
      </c>
      <c r="K22" s="1138"/>
    </row>
    <row r="23" spans="2:11" ht="16.5" customHeight="1">
      <c r="B23" s="128">
        <v>10</v>
      </c>
      <c r="C23" s="135"/>
      <c r="D23" s="130" t="s">
        <v>488</v>
      </c>
      <c r="E23" s="133">
        <v>1190</v>
      </c>
      <c r="F23" s="1191"/>
      <c r="G23" s="1191"/>
      <c r="H23" s="1191"/>
      <c r="I23" s="1191"/>
      <c r="J23" s="1200">
        <f t="shared" si="0"/>
        <v>0</v>
      </c>
      <c r="K23" s="1138"/>
    </row>
    <row r="24" spans="2:11" ht="16.5" customHeight="1">
      <c r="B24" s="128">
        <v>11</v>
      </c>
      <c r="C24" s="135"/>
      <c r="D24" s="130" t="s">
        <v>489</v>
      </c>
      <c r="E24" s="133">
        <v>1210</v>
      </c>
      <c r="F24" s="1191"/>
      <c r="G24" s="1191"/>
      <c r="H24" s="1191"/>
      <c r="I24" s="1191"/>
      <c r="J24" s="1206" t="str">
        <f>IF(+G24+H24-I24=0,"  ","ERR!!!!!!")</f>
        <v>  </v>
      </c>
      <c r="K24" s="1138"/>
    </row>
    <row r="25" spans="2:11" ht="16.5" customHeight="1">
      <c r="B25" s="128">
        <v>12</v>
      </c>
      <c r="C25" s="135"/>
      <c r="D25" s="130" t="s">
        <v>490</v>
      </c>
      <c r="E25" s="133">
        <v>1220</v>
      </c>
      <c r="F25" s="1191"/>
      <c r="G25" s="1191"/>
      <c r="H25" s="1191"/>
      <c r="I25" s="1191"/>
      <c r="J25" s="1200">
        <f>+G25+H25-I25</f>
        <v>0</v>
      </c>
      <c r="K25" s="1138"/>
    </row>
    <row r="26" spans="2:11" ht="16.5" customHeight="1">
      <c r="B26" s="136">
        <v>13</v>
      </c>
      <c r="C26" s="135"/>
      <c r="D26" s="145" t="s">
        <v>732</v>
      </c>
      <c r="E26" s="138">
        <v>1230</v>
      </c>
      <c r="F26" s="1193"/>
      <c r="G26" s="1193"/>
      <c r="H26" s="1193"/>
      <c r="I26" s="1193"/>
      <c r="J26" s="1202">
        <f>+G26+H26-I26</f>
        <v>0</v>
      </c>
      <c r="K26" s="1139"/>
    </row>
    <row r="27" spans="2:11" ht="16.5" customHeight="1">
      <c r="B27" s="128">
        <v>14</v>
      </c>
      <c r="C27" s="135" t="s">
        <v>491</v>
      </c>
      <c r="D27" s="130"/>
      <c r="E27" s="140"/>
      <c r="F27" s="1194">
        <f>SUM(F15:F26)</f>
        <v>0</v>
      </c>
      <c r="G27" s="1194">
        <f>SUM(G15:G26)</f>
        <v>0</v>
      </c>
      <c r="H27" s="1194">
        <f>SUM(H15:H26)</f>
        <v>0</v>
      </c>
      <c r="I27" s="1194">
        <f>SUM(I15:I26)</f>
        <v>0</v>
      </c>
      <c r="J27" s="1200">
        <f>SUM(J15:J26)</f>
        <v>0</v>
      </c>
      <c r="K27" s="1138"/>
    </row>
    <row r="28" spans="2:11" ht="18.75">
      <c r="B28" s="128">
        <v>15</v>
      </c>
      <c r="C28" s="129" t="s">
        <v>492</v>
      </c>
      <c r="D28" s="130"/>
      <c r="E28" s="140"/>
      <c r="F28" s="131"/>
      <c r="G28" s="131"/>
      <c r="H28" s="131"/>
      <c r="I28" s="131"/>
      <c r="J28" s="1024"/>
      <c r="K28" s="1035"/>
    </row>
    <row r="29" spans="2:11" ht="16.5" customHeight="1">
      <c r="B29" s="128">
        <v>16</v>
      </c>
      <c r="C29" s="135"/>
      <c r="D29" s="130" t="s">
        <v>493</v>
      </c>
      <c r="E29" s="133">
        <v>1400</v>
      </c>
      <c r="F29" s="1191"/>
      <c r="G29" s="1191"/>
      <c r="H29" s="1191"/>
      <c r="I29" s="1191"/>
      <c r="J29" s="1200">
        <f aca="true" t="shared" si="1" ref="J29:J37">+G29+H29-I29</f>
        <v>0</v>
      </c>
      <c r="K29" s="1138"/>
    </row>
    <row r="30" spans="2:11" ht="16.5" customHeight="1">
      <c r="B30" s="128">
        <v>17</v>
      </c>
      <c r="C30" s="135"/>
      <c r="D30" s="130" t="s">
        <v>494</v>
      </c>
      <c r="E30" s="133">
        <v>1401</v>
      </c>
      <c r="F30" s="1191"/>
      <c r="G30" s="1191"/>
      <c r="H30" s="1191"/>
      <c r="I30" s="1191"/>
      <c r="J30" s="1200">
        <f t="shared" si="1"/>
        <v>0</v>
      </c>
      <c r="K30" s="1138"/>
    </row>
    <row r="31" spans="2:11" ht="16.5" customHeight="1">
      <c r="B31" s="128">
        <v>18</v>
      </c>
      <c r="C31" s="135"/>
      <c r="D31" s="130" t="s">
        <v>495</v>
      </c>
      <c r="E31" s="133">
        <v>1402</v>
      </c>
      <c r="F31" s="1191"/>
      <c r="G31" s="1191"/>
      <c r="H31" s="1191"/>
      <c r="I31" s="1191"/>
      <c r="J31" s="1200">
        <f t="shared" si="1"/>
        <v>0</v>
      </c>
      <c r="K31" s="1138"/>
    </row>
    <row r="32" spans="2:11" ht="16.5" customHeight="1">
      <c r="B32" s="128">
        <v>19</v>
      </c>
      <c r="C32" s="135"/>
      <c r="D32" s="130" t="s">
        <v>496</v>
      </c>
      <c r="E32" s="133">
        <v>1403</v>
      </c>
      <c r="F32" s="1191"/>
      <c r="G32" s="1191"/>
      <c r="H32" s="1191"/>
      <c r="I32" s="1191"/>
      <c r="J32" s="1200">
        <f t="shared" si="1"/>
        <v>0</v>
      </c>
      <c r="K32" s="1138"/>
    </row>
    <row r="33" spans="2:11" ht="16.5" customHeight="1">
      <c r="B33" s="128">
        <v>20</v>
      </c>
      <c r="C33" s="135"/>
      <c r="D33" s="130" t="s">
        <v>497</v>
      </c>
      <c r="E33" s="133">
        <v>1404</v>
      </c>
      <c r="F33" s="1191"/>
      <c r="G33" s="1191"/>
      <c r="H33" s="1191"/>
      <c r="I33" s="1191"/>
      <c r="J33" s="1200">
        <f t="shared" si="1"/>
        <v>0</v>
      </c>
      <c r="K33" s="1138"/>
    </row>
    <row r="34" spans="2:11" ht="16.5" customHeight="1">
      <c r="B34" s="128">
        <v>21</v>
      </c>
      <c r="C34" s="135"/>
      <c r="D34" s="130" t="s">
        <v>498</v>
      </c>
      <c r="E34" s="133">
        <v>1405</v>
      </c>
      <c r="F34" s="1191"/>
      <c r="G34" s="1191"/>
      <c r="H34" s="1191"/>
      <c r="I34" s="1191"/>
      <c r="J34" s="1200">
        <f t="shared" si="1"/>
        <v>0</v>
      </c>
      <c r="K34" s="1138"/>
    </row>
    <row r="35" spans="2:11" ht="16.5" customHeight="1">
      <c r="B35" s="128">
        <v>22</v>
      </c>
      <c r="C35" s="135"/>
      <c r="D35" s="130" t="s">
        <v>499</v>
      </c>
      <c r="E35" s="133">
        <v>1406</v>
      </c>
      <c r="F35" s="1191"/>
      <c r="G35" s="1191"/>
      <c r="H35" s="1191"/>
      <c r="I35" s="1191"/>
      <c r="J35" s="1200">
        <f t="shared" si="1"/>
        <v>0</v>
      </c>
      <c r="K35" s="1138"/>
    </row>
    <row r="36" spans="2:11" ht="16.5" customHeight="1">
      <c r="B36" s="128">
        <v>23</v>
      </c>
      <c r="C36" s="135"/>
      <c r="D36" s="130" t="s">
        <v>500</v>
      </c>
      <c r="E36" s="133">
        <v>1407</v>
      </c>
      <c r="F36" s="1191"/>
      <c r="G36" s="1191"/>
      <c r="H36" s="1191"/>
      <c r="I36" s="1191"/>
      <c r="J36" s="1200">
        <f t="shared" si="1"/>
        <v>0</v>
      </c>
      <c r="K36" s="1138"/>
    </row>
    <row r="37" spans="2:11" ht="16.5" customHeight="1">
      <c r="B37" s="128">
        <v>24</v>
      </c>
      <c r="C37" s="135"/>
      <c r="D37" s="130" t="s">
        <v>501</v>
      </c>
      <c r="E37" s="133">
        <v>1408</v>
      </c>
      <c r="F37" s="1191"/>
      <c r="G37" s="1191"/>
      <c r="H37" s="1191"/>
      <c r="I37" s="1191"/>
      <c r="J37" s="1200">
        <f t="shared" si="1"/>
        <v>0</v>
      </c>
      <c r="K37" s="1138"/>
    </row>
    <row r="38" spans="2:11" ht="15.75">
      <c r="B38" s="141">
        <v>25</v>
      </c>
      <c r="C38" s="142" t="s">
        <v>502</v>
      </c>
      <c r="D38" s="143"/>
      <c r="E38" s="143"/>
      <c r="F38" s="1195">
        <f>ROUND(SUM(F29:F37),0)</f>
        <v>0</v>
      </c>
      <c r="G38" s="1195">
        <f>ROUND(SUM(G29:G37),0)</f>
        <v>0</v>
      </c>
      <c r="H38" s="1195">
        <f>ROUND(SUM(H29:H37),0)</f>
        <v>0</v>
      </c>
      <c r="I38" s="1195">
        <f>ROUND(SUM(I29:I37),0)</f>
        <v>0</v>
      </c>
      <c r="J38" s="1201">
        <f>ROUND(SUM(J29:J37),0)</f>
        <v>0</v>
      </c>
      <c r="K38" s="1140"/>
    </row>
    <row r="39" spans="2:11" ht="15.75">
      <c r="B39" s="136"/>
      <c r="C39" s="144" t="s">
        <v>503</v>
      </c>
      <c r="D39" s="145"/>
      <c r="E39" s="145"/>
      <c r="F39" s="1196"/>
      <c r="G39" s="1196"/>
      <c r="H39" s="1196"/>
      <c r="I39" s="1196"/>
      <c r="J39" s="1202"/>
      <c r="K39" s="1033"/>
    </row>
    <row r="40" spans="2:11" ht="16.5" customHeight="1">
      <c r="B40" s="128">
        <v>26</v>
      </c>
      <c r="C40" s="135"/>
      <c r="D40" s="130" t="s">
        <v>504</v>
      </c>
      <c r="E40" s="133">
        <v>1601</v>
      </c>
      <c r="F40" s="1191"/>
      <c r="G40" s="1191"/>
      <c r="H40" s="1191"/>
      <c r="I40" s="1191"/>
      <c r="J40" s="1200">
        <f aca="true" t="shared" si="2" ref="J40:J47">+G40+H40-I40</f>
        <v>0</v>
      </c>
      <c r="K40" s="1138"/>
    </row>
    <row r="41" spans="2:11" ht="16.5" customHeight="1">
      <c r="B41" s="128">
        <v>27</v>
      </c>
      <c r="C41" s="135"/>
      <c r="D41" s="130" t="s">
        <v>505</v>
      </c>
      <c r="E41" s="133">
        <v>1602</v>
      </c>
      <c r="F41" s="1191"/>
      <c r="G41" s="1191"/>
      <c r="H41" s="1191"/>
      <c r="I41" s="1191"/>
      <c r="J41" s="1200">
        <f t="shared" si="2"/>
        <v>0</v>
      </c>
      <c r="K41" s="1138"/>
    </row>
    <row r="42" spans="2:11" ht="16.5" customHeight="1">
      <c r="B42" s="128">
        <v>28</v>
      </c>
      <c r="C42" s="135"/>
      <c r="D42" s="130" t="s">
        <v>284</v>
      </c>
      <c r="E42" s="133">
        <v>1603</v>
      </c>
      <c r="F42" s="1191"/>
      <c r="G42" s="1191"/>
      <c r="H42" s="1191"/>
      <c r="I42" s="1191"/>
      <c r="J42" s="1200">
        <f t="shared" si="2"/>
        <v>0</v>
      </c>
      <c r="K42" s="1138"/>
    </row>
    <row r="43" spans="2:11" ht="16.5" customHeight="1">
      <c r="B43" s="128">
        <v>29</v>
      </c>
      <c r="C43" s="135"/>
      <c r="D43" s="130" t="s">
        <v>285</v>
      </c>
      <c r="E43" s="133">
        <v>1604</v>
      </c>
      <c r="F43" s="1191"/>
      <c r="G43" s="1191"/>
      <c r="H43" s="1191"/>
      <c r="I43" s="1191"/>
      <c r="J43" s="1200">
        <f t="shared" si="2"/>
        <v>0</v>
      </c>
      <c r="K43" s="1138"/>
    </row>
    <row r="44" spans="2:11" ht="16.5" customHeight="1">
      <c r="B44" s="128">
        <v>30</v>
      </c>
      <c r="C44" s="135"/>
      <c r="D44" s="130" t="s">
        <v>286</v>
      </c>
      <c r="E44" s="133">
        <v>1605</v>
      </c>
      <c r="F44" s="1191"/>
      <c r="G44" s="1191"/>
      <c r="H44" s="1191"/>
      <c r="I44" s="1191"/>
      <c r="J44" s="1200">
        <f t="shared" si="2"/>
        <v>0</v>
      </c>
      <c r="K44" s="1138"/>
    </row>
    <row r="45" spans="2:11" ht="16.5" customHeight="1">
      <c r="B45" s="128">
        <v>31</v>
      </c>
      <c r="C45" s="135"/>
      <c r="D45" s="146" t="s">
        <v>287</v>
      </c>
      <c r="E45" s="133">
        <v>1606</v>
      </c>
      <c r="F45" s="1191"/>
      <c r="G45" s="1191"/>
      <c r="H45" s="1191"/>
      <c r="I45" s="1191"/>
      <c r="J45" s="1200">
        <f t="shared" si="2"/>
        <v>0</v>
      </c>
      <c r="K45" s="1138"/>
    </row>
    <row r="46" spans="2:11" ht="16.5" customHeight="1">
      <c r="B46" s="128">
        <v>32</v>
      </c>
      <c r="C46" s="135"/>
      <c r="D46" s="130" t="s">
        <v>288</v>
      </c>
      <c r="E46" s="133">
        <v>1607</v>
      </c>
      <c r="F46" s="1191"/>
      <c r="G46" s="1191"/>
      <c r="H46" s="1191"/>
      <c r="I46" s="1191"/>
      <c r="J46" s="1200">
        <f t="shared" si="2"/>
        <v>0</v>
      </c>
      <c r="K46" s="1138"/>
    </row>
    <row r="47" spans="2:11" ht="16.5" customHeight="1">
      <c r="B47" s="128">
        <v>33</v>
      </c>
      <c r="C47" s="135"/>
      <c r="D47" s="130" t="s">
        <v>289</v>
      </c>
      <c r="E47" s="133">
        <v>1608</v>
      </c>
      <c r="F47" s="1191"/>
      <c r="G47" s="1191"/>
      <c r="H47" s="1191"/>
      <c r="I47" s="1191"/>
      <c r="J47" s="1200">
        <f t="shared" si="2"/>
        <v>0</v>
      </c>
      <c r="K47" s="1138"/>
    </row>
    <row r="48" spans="2:11" ht="15.75">
      <c r="B48" s="147">
        <v>34</v>
      </c>
      <c r="C48" s="142" t="s">
        <v>290</v>
      </c>
      <c r="D48" s="148"/>
      <c r="E48" s="149"/>
      <c r="F48" s="1197">
        <f>ROUND(SUM(F40:F47),0)</f>
        <v>0</v>
      </c>
      <c r="G48" s="1197">
        <f>ROUND(SUM(G40:G47),0)</f>
        <v>0</v>
      </c>
      <c r="H48" s="1197">
        <f>ROUND(SUM(H40:H47),0)</f>
        <v>0</v>
      </c>
      <c r="I48" s="1197">
        <f>ROUND(SUM(I40:I47),0)</f>
        <v>0</v>
      </c>
      <c r="J48" s="1203">
        <f>ROUND(SUM(J40:J47),0)</f>
        <v>0</v>
      </c>
      <c r="K48" s="1141"/>
    </row>
    <row r="49" spans="2:11" s="150" customFormat="1" ht="11.25">
      <c r="B49" s="151"/>
      <c r="C49" s="152" t="s">
        <v>291</v>
      </c>
      <c r="D49" s="153"/>
      <c r="E49" s="154"/>
      <c r="F49" s="1198"/>
      <c r="G49" s="1198"/>
      <c r="H49" s="1198"/>
      <c r="I49" s="1198"/>
      <c r="J49" s="1204"/>
      <c r="K49" s="1037"/>
    </row>
    <row r="50" spans="2:11" ht="16.5" customHeight="1">
      <c r="B50" s="141">
        <v>35</v>
      </c>
      <c r="C50" s="155" t="s">
        <v>292</v>
      </c>
      <c r="D50" s="101"/>
      <c r="E50" s="156"/>
      <c r="F50" s="1199">
        <f>ROUND(SUM(+F38+F48),0)</f>
        <v>0</v>
      </c>
      <c r="G50" s="1199">
        <f>ROUND(SUM(+G38+G48),0)</f>
        <v>0</v>
      </c>
      <c r="H50" s="1199">
        <f>ROUND(SUM(+H38+H48),0)</f>
        <v>0</v>
      </c>
      <c r="I50" s="1199">
        <f>ROUND(SUM(+I38+I48),0)</f>
        <v>0</v>
      </c>
      <c r="J50" s="1205">
        <f>ROUND(SUM(+J38+J48),0)</f>
        <v>0</v>
      </c>
      <c r="K50" s="1140"/>
    </row>
    <row r="51" spans="2:11" s="150" customFormat="1" ht="12" thickBot="1">
      <c r="B51" s="158"/>
      <c r="C51" s="159" t="s">
        <v>293</v>
      </c>
      <c r="D51" s="160"/>
      <c r="E51" s="161"/>
      <c r="F51" s="162"/>
      <c r="G51" s="162"/>
      <c r="H51" s="162"/>
      <c r="I51" s="162"/>
      <c r="J51" s="1038"/>
      <c r="K51" s="1036"/>
    </row>
    <row r="52" spans="1:12" s="163" customFormat="1" ht="15.75">
      <c r="A52" s="99"/>
      <c r="B52" s="99"/>
      <c r="C52" s="100" t="s">
        <v>265</v>
      </c>
      <c r="D52" s="920">
        <f>D1</f>
        <v>0</v>
      </c>
      <c r="E52" s="101"/>
      <c r="F52" s="99"/>
      <c r="G52" s="99"/>
      <c r="H52" s="99"/>
      <c r="I52" s="99"/>
      <c r="J52" s="99"/>
      <c r="K52" s="99"/>
      <c r="L52" s="99"/>
    </row>
    <row r="53" spans="1:12" s="163" customFormat="1" ht="15.75">
      <c r="A53" s="99"/>
      <c r="B53" s="99"/>
      <c r="C53" s="100" t="s">
        <v>266</v>
      </c>
      <c r="D53" s="102">
        <f>+$D$2</f>
        <v>0</v>
      </c>
      <c r="E53" s="101" t="str">
        <f>Schedule_A!A3</f>
        <v>NURSING FACILITY 2019 COST REPORT</v>
      </c>
      <c r="F53" s="99"/>
      <c r="G53" s="99"/>
      <c r="H53" s="99"/>
      <c r="I53" s="99"/>
      <c r="J53" s="99"/>
      <c r="K53" s="99"/>
      <c r="L53" s="99"/>
    </row>
    <row r="54" spans="1:12" s="163" customFormat="1" ht="15.75">
      <c r="A54" s="99"/>
      <c r="B54" s="99"/>
      <c r="C54" s="100"/>
      <c r="D54" s="103"/>
      <c r="E54" s="101"/>
      <c r="F54" s="99"/>
      <c r="G54" s="99"/>
      <c r="H54" s="99"/>
      <c r="I54" s="99"/>
      <c r="J54" s="99"/>
      <c r="K54" s="99"/>
      <c r="L54" s="99"/>
    </row>
    <row r="55" spans="1:12" s="163" customFormat="1" ht="18">
      <c r="A55" s="104" t="s">
        <v>459</v>
      </c>
      <c r="B55" s="105"/>
      <c r="C55" s="105"/>
      <c r="D55" s="105"/>
      <c r="E55" s="105"/>
      <c r="F55" s="105"/>
      <c r="G55" s="105"/>
      <c r="H55" s="105"/>
      <c r="I55" s="105"/>
      <c r="J55" s="105"/>
      <c r="K55" s="105"/>
      <c r="L55" s="105"/>
    </row>
    <row r="56" spans="1:12" s="163" customFormat="1" ht="6" customHeight="1">
      <c r="A56" s="104"/>
      <c r="B56" s="105"/>
      <c r="C56" s="105"/>
      <c r="D56" s="105"/>
      <c r="E56" s="105"/>
      <c r="F56" s="105"/>
      <c r="G56" s="105"/>
      <c r="H56" s="105"/>
      <c r="I56" s="105"/>
      <c r="J56" s="105"/>
      <c r="K56" s="105"/>
      <c r="L56" s="105"/>
    </row>
    <row r="57" spans="1:12" s="163" customFormat="1" ht="6" customHeight="1">
      <c r="A57" s="104"/>
      <c r="B57" s="105"/>
      <c r="C57" s="105"/>
      <c r="D57" s="105"/>
      <c r="E57" s="105"/>
      <c r="F57" s="105"/>
      <c r="G57" s="105"/>
      <c r="H57" s="105"/>
      <c r="I57" s="105"/>
      <c r="J57" s="105"/>
      <c r="K57" s="105"/>
      <c r="L57" s="105"/>
    </row>
    <row r="58" spans="1:12" s="163" customFormat="1" ht="18">
      <c r="A58" s="104" t="s">
        <v>460</v>
      </c>
      <c r="B58" s="106"/>
      <c r="C58" s="106"/>
      <c r="D58" s="106"/>
      <c r="E58" s="106"/>
      <c r="F58" s="106"/>
      <c r="G58" s="106"/>
      <c r="H58" s="106"/>
      <c r="I58" s="106"/>
      <c r="J58" s="106"/>
      <c r="K58" s="106"/>
      <c r="L58" s="106"/>
    </row>
    <row r="59" spans="1:12" s="163" customFormat="1" ht="6" customHeight="1">
      <c r="A59" s="106"/>
      <c r="B59" s="106"/>
      <c r="C59" s="106"/>
      <c r="D59" s="106"/>
      <c r="E59" s="106"/>
      <c r="F59" s="106"/>
      <c r="G59" s="106"/>
      <c r="H59" s="106"/>
      <c r="I59" s="106"/>
      <c r="J59" s="106"/>
      <c r="K59" s="106"/>
      <c r="L59" s="106"/>
    </row>
    <row r="60" spans="1:12" s="163" customFormat="1" ht="16.5" thickBot="1">
      <c r="A60" s="106"/>
      <c r="B60" s="112" t="s">
        <v>462</v>
      </c>
      <c r="C60" s="99"/>
      <c r="D60" s="99"/>
      <c r="E60" s="99"/>
      <c r="F60" s="99"/>
      <c r="G60" s="99"/>
      <c r="H60" s="99"/>
      <c r="I60" s="99"/>
      <c r="J60" s="99"/>
      <c r="K60" s="99"/>
      <c r="L60" s="106"/>
    </row>
    <row r="61" spans="1:12" s="163" customFormat="1" ht="78.75">
      <c r="A61" s="106"/>
      <c r="B61" s="113" t="s">
        <v>463</v>
      </c>
      <c r="C61" s="114" t="s">
        <v>464</v>
      </c>
      <c r="D61" s="115"/>
      <c r="E61" s="116" t="s">
        <v>465</v>
      </c>
      <c r="F61" s="116" t="s">
        <v>466</v>
      </c>
      <c r="G61" s="164" t="s">
        <v>294</v>
      </c>
      <c r="H61" s="117" t="s">
        <v>468</v>
      </c>
      <c r="I61" s="118"/>
      <c r="J61" s="1021" t="s">
        <v>469</v>
      </c>
      <c r="K61" s="220" t="s">
        <v>470</v>
      </c>
      <c r="L61" s="106"/>
    </row>
    <row r="62" spans="1:12" s="163" customFormat="1" ht="15.75">
      <c r="A62" s="106"/>
      <c r="B62" s="119"/>
      <c r="C62" s="120"/>
      <c r="D62" s="121"/>
      <c r="E62" s="122"/>
      <c r="F62" s="122"/>
      <c r="G62" s="165"/>
      <c r="H62" s="122" t="s">
        <v>471</v>
      </c>
      <c r="I62" s="122" t="s">
        <v>472</v>
      </c>
      <c r="J62" s="1022"/>
      <c r="K62" s="1015"/>
      <c r="L62" s="106"/>
    </row>
    <row r="63" spans="1:12" s="163" customFormat="1" ht="15.75">
      <c r="A63" s="106"/>
      <c r="B63" s="124"/>
      <c r="C63" s="125"/>
      <c r="D63" s="126"/>
      <c r="E63" s="127" t="s">
        <v>473</v>
      </c>
      <c r="F63" s="127" t="s">
        <v>474</v>
      </c>
      <c r="G63" s="127" t="s">
        <v>475</v>
      </c>
      <c r="H63" s="127" t="s">
        <v>476</v>
      </c>
      <c r="I63" s="127" t="s">
        <v>477</v>
      </c>
      <c r="J63" s="1023" t="s">
        <v>478</v>
      </c>
      <c r="K63" s="1016" t="s">
        <v>479</v>
      </c>
      <c r="L63" s="106"/>
    </row>
    <row r="64" spans="2:11" ht="16.5" customHeight="1">
      <c r="B64" s="128">
        <v>36</v>
      </c>
      <c r="C64" s="135"/>
      <c r="D64" s="130" t="s">
        <v>295</v>
      </c>
      <c r="E64" s="133">
        <v>1470</v>
      </c>
      <c r="F64" s="134"/>
      <c r="G64" s="134"/>
      <c r="H64" s="134"/>
      <c r="I64" s="134"/>
      <c r="J64" s="1025">
        <f>+G64+H64-I64</f>
        <v>0</v>
      </c>
      <c r="K64" s="1138"/>
    </row>
    <row r="65" spans="2:11" ht="16.5" customHeight="1">
      <c r="B65" s="128">
        <v>37</v>
      </c>
      <c r="C65" s="135"/>
      <c r="D65" s="130" t="s">
        <v>296</v>
      </c>
      <c r="E65" s="133">
        <v>1480</v>
      </c>
      <c r="F65" s="134"/>
      <c r="G65" s="134"/>
      <c r="H65" s="134"/>
      <c r="I65" s="134"/>
      <c r="J65" s="1025">
        <f>+G65+H65-I65</f>
        <v>0</v>
      </c>
      <c r="K65" s="1138"/>
    </row>
    <row r="66" spans="2:11" ht="31.5">
      <c r="B66" s="136">
        <v>38</v>
      </c>
      <c r="C66" s="135"/>
      <c r="D66" s="137" t="s">
        <v>297</v>
      </c>
      <c r="E66" s="138">
        <v>1680</v>
      </c>
      <c r="F66" s="139"/>
      <c r="G66" s="139"/>
      <c r="H66" s="139"/>
      <c r="I66" s="139"/>
      <c r="J66" s="1026">
        <f>+G66+H66-I66</f>
        <v>0</v>
      </c>
      <c r="K66" s="1139"/>
    </row>
    <row r="67" spans="2:11" ht="15.75">
      <c r="B67" s="141">
        <v>39</v>
      </c>
      <c r="C67" s="155" t="s">
        <v>298</v>
      </c>
      <c r="D67" s="101"/>
      <c r="E67" s="156"/>
      <c r="F67" s="157">
        <f>+F50+SUM(F64:F66)</f>
        <v>0</v>
      </c>
      <c r="G67" s="157">
        <f>+G50+SUM(G64:G66)</f>
        <v>0</v>
      </c>
      <c r="H67" s="157">
        <f>+H50+SUM(H64:H66)</f>
        <v>0</v>
      </c>
      <c r="I67" s="157">
        <f>+I50+SUM(I64:I66)</f>
        <v>0</v>
      </c>
      <c r="J67" s="1028">
        <f>+J50+SUM(J64:J66)</f>
        <v>0</v>
      </c>
      <c r="K67" s="1140"/>
    </row>
    <row r="68" spans="2:11" s="150" customFormat="1" ht="11.25">
      <c r="B68" s="166"/>
      <c r="C68" s="167" t="s">
        <v>299</v>
      </c>
      <c r="D68" s="168"/>
      <c r="E68" s="169"/>
      <c r="F68" s="170"/>
      <c r="G68" s="170"/>
      <c r="H68" s="170"/>
      <c r="I68" s="170"/>
      <c r="J68" s="1029"/>
      <c r="K68" s="1034"/>
    </row>
    <row r="69" spans="2:11" ht="18.75">
      <c r="B69" s="128">
        <v>40</v>
      </c>
      <c r="C69" s="129" t="s">
        <v>300</v>
      </c>
      <c r="D69" s="130"/>
      <c r="E69" s="171"/>
      <c r="F69" s="172"/>
      <c r="G69" s="172"/>
      <c r="H69" s="172"/>
      <c r="I69" s="172"/>
      <c r="J69" s="1030"/>
      <c r="K69" s="1035"/>
    </row>
    <row r="70" spans="2:11" ht="16.5" customHeight="1">
      <c r="B70" s="128">
        <v>41</v>
      </c>
      <c r="C70" s="135"/>
      <c r="D70" s="130" t="s">
        <v>301</v>
      </c>
      <c r="E70" s="133">
        <v>1810</v>
      </c>
      <c r="F70" s="134"/>
      <c r="G70" s="134"/>
      <c r="H70" s="134"/>
      <c r="I70" s="134"/>
      <c r="J70" s="1025">
        <f aca="true" t="shared" si="3" ref="J70:J75">+G70+H70-I70</f>
        <v>0</v>
      </c>
      <c r="K70" s="1138"/>
    </row>
    <row r="71" spans="2:11" ht="16.5" customHeight="1">
      <c r="B71" s="128">
        <v>42</v>
      </c>
      <c r="C71" s="135"/>
      <c r="D71" s="130" t="s">
        <v>302</v>
      </c>
      <c r="E71" s="133">
        <v>1820</v>
      </c>
      <c r="F71" s="134"/>
      <c r="G71" s="134"/>
      <c r="H71" s="134"/>
      <c r="I71" s="134"/>
      <c r="J71" s="1025">
        <f t="shared" si="3"/>
        <v>0</v>
      </c>
      <c r="K71" s="1138"/>
    </row>
    <row r="72" spans="2:11" ht="16.5" customHeight="1">
      <c r="B72" s="128">
        <v>43</v>
      </c>
      <c r="C72" s="135"/>
      <c r="D72" s="130" t="s">
        <v>303</v>
      </c>
      <c r="E72" s="133">
        <v>1830</v>
      </c>
      <c r="F72" s="134"/>
      <c r="G72" s="134"/>
      <c r="H72" s="134"/>
      <c r="I72" s="134"/>
      <c r="J72" s="1025">
        <f t="shared" si="3"/>
        <v>0</v>
      </c>
      <c r="K72" s="1138"/>
    </row>
    <row r="73" spans="2:11" ht="16.5" customHeight="1">
      <c r="B73" s="128">
        <v>44</v>
      </c>
      <c r="C73" s="135"/>
      <c r="D73" s="130" t="s">
        <v>304</v>
      </c>
      <c r="E73" s="133">
        <v>1840</v>
      </c>
      <c r="F73" s="134"/>
      <c r="G73" s="134"/>
      <c r="H73" s="134"/>
      <c r="I73" s="134"/>
      <c r="J73" s="1025">
        <f t="shared" si="3"/>
        <v>0</v>
      </c>
      <c r="K73" s="1138"/>
    </row>
    <row r="74" spans="2:11" ht="16.5" customHeight="1">
      <c r="B74" s="128">
        <v>45</v>
      </c>
      <c r="C74" s="135"/>
      <c r="D74" s="130" t="s">
        <v>305</v>
      </c>
      <c r="E74" s="133">
        <v>1850</v>
      </c>
      <c r="F74" s="134"/>
      <c r="G74" s="134"/>
      <c r="H74" s="134"/>
      <c r="I74" s="134"/>
      <c r="J74" s="1025">
        <f t="shared" si="3"/>
        <v>0</v>
      </c>
      <c r="K74" s="1138"/>
    </row>
    <row r="75" spans="2:11" ht="15.75">
      <c r="B75" s="136">
        <v>46</v>
      </c>
      <c r="C75" s="135"/>
      <c r="D75" s="137" t="s">
        <v>735</v>
      </c>
      <c r="E75" s="138">
        <v>1860</v>
      </c>
      <c r="F75" s="139"/>
      <c r="G75" s="139"/>
      <c r="H75" s="139"/>
      <c r="I75" s="139"/>
      <c r="J75" s="1026">
        <f t="shared" si="3"/>
        <v>0</v>
      </c>
      <c r="K75" s="1139"/>
    </row>
    <row r="76" spans="2:11" ht="15.75">
      <c r="B76" s="141">
        <v>47</v>
      </c>
      <c r="C76" s="155" t="s">
        <v>105</v>
      </c>
      <c r="D76" s="101"/>
      <c r="E76" s="156"/>
      <c r="F76" s="157">
        <f>ROUND(SUM(F70:F75),0)</f>
        <v>0</v>
      </c>
      <c r="G76" s="157">
        <f>ROUND(SUM(G70:G75),0)</f>
        <v>0</v>
      </c>
      <c r="H76" s="157">
        <f>ROUND(SUM(H70:H75),0)</f>
        <v>0</v>
      </c>
      <c r="I76" s="157">
        <f>ROUND(SUM(I70:I75),0)</f>
        <v>0</v>
      </c>
      <c r="J76" s="1028">
        <f>ROUND(SUM(J70:J75),0)</f>
        <v>0</v>
      </c>
      <c r="K76" s="1140"/>
    </row>
    <row r="77" spans="2:11" s="150" customFormat="1" ht="11.25">
      <c r="B77" s="166"/>
      <c r="C77" s="167" t="s">
        <v>106</v>
      </c>
      <c r="D77" s="168"/>
      <c r="E77" s="169"/>
      <c r="F77" s="170"/>
      <c r="G77" s="170"/>
      <c r="H77" s="170"/>
      <c r="I77" s="170"/>
      <c r="J77" s="1029"/>
      <c r="K77" s="1034"/>
    </row>
    <row r="78" spans="2:11" ht="18.75">
      <c r="B78" s="141">
        <v>48</v>
      </c>
      <c r="C78" s="173" t="s">
        <v>98</v>
      </c>
      <c r="D78" s="101"/>
      <c r="E78" s="174"/>
      <c r="F78" s="157">
        <f>ROUND(SUM(+F27+F67+F76),0)</f>
        <v>0</v>
      </c>
      <c r="G78" s="157">
        <f>ROUND(SUM(+G27+G67+G76),0)</f>
        <v>0</v>
      </c>
      <c r="H78" s="157">
        <f>ROUND(SUM(+H27+H67+H76),0)</f>
        <v>0</v>
      </c>
      <c r="I78" s="157">
        <f>ROUND(SUM(+I27+I67+I76),0)</f>
        <v>0</v>
      </c>
      <c r="J78" s="1028">
        <f>ROUND(SUM(+J27+J67+J76),0)</f>
        <v>0</v>
      </c>
      <c r="K78" s="1140"/>
    </row>
    <row r="79" spans="2:11" s="150" customFormat="1" ht="12" thickBot="1">
      <c r="B79" s="175"/>
      <c r="C79" s="159" t="s">
        <v>99</v>
      </c>
      <c r="D79" s="160"/>
      <c r="E79" s="176"/>
      <c r="F79" s="159"/>
      <c r="G79" s="159"/>
      <c r="H79" s="159"/>
      <c r="I79" s="159"/>
      <c r="J79" s="1032"/>
      <c r="K79" s="1036"/>
    </row>
    <row r="80" spans="3:5" ht="15.75">
      <c r="C80" s="100" t="s">
        <v>265</v>
      </c>
      <c r="D80" s="920">
        <f>+$D$1</f>
        <v>0</v>
      </c>
      <c r="E80" s="101"/>
    </row>
    <row r="81" spans="3:5" ht="15.75">
      <c r="C81" s="100" t="s">
        <v>266</v>
      </c>
      <c r="D81" s="102">
        <f>+$D$2</f>
        <v>0</v>
      </c>
      <c r="E81" s="101" t="str">
        <f>Schedule_A!A3</f>
        <v>NURSING FACILITY 2019 COST REPORT</v>
      </c>
    </row>
    <row r="82" spans="3:5" ht="9.75" customHeight="1">
      <c r="C82" s="100"/>
      <c r="D82" s="103"/>
      <c r="E82" s="101"/>
    </row>
    <row r="83" spans="3:5" ht="15.75">
      <c r="C83" s="100"/>
      <c r="D83" s="103"/>
      <c r="E83" s="101"/>
    </row>
    <row r="84" spans="1:12" ht="18">
      <c r="A84" s="104" t="s">
        <v>459</v>
      </c>
      <c r="B84" s="105"/>
      <c r="C84" s="105"/>
      <c r="D84" s="105"/>
      <c r="E84" s="105"/>
      <c r="F84" s="105"/>
      <c r="G84" s="105"/>
      <c r="H84" s="105"/>
      <c r="I84" s="105"/>
      <c r="J84" s="105"/>
      <c r="K84" s="105"/>
      <c r="L84" s="105"/>
    </row>
    <row r="85" spans="1:12" ht="6" customHeight="1">
      <c r="A85" s="104"/>
      <c r="B85" s="105"/>
      <c r="C85" s="105"/>
      <c r="D85" s="105"/>
      <c r="E85" s="105"/>
      <c r="F85" s="105"/>
      <c r="G85" s="105"/>
      <c r="H85" s="105"/>
      <c r="I85" s="105"/>
      <c r="J85" s="105"/>
      <c r="K85" s="105"/>
      <c r="L85" s="105"/>
    </row>
    <row r="86" spans="1:12" ht="6" customHeight="1">
      <c r="A86" s="104"/>
      <c r="B86" s="105"/>
      <c r="C86" s="105"/>
      <c r="D86" s="105"/>
      <c r="E86" s="105"/>
      <c r="F86" s="105"/>
      <c r="G86" s="105"/>
      <c r="H86" s="105"/>
      <c r="I86" s="105"/>
      <c r="J86" s="105"/>
      <c r="K86" s="105"/>
      <c r="L86" s="105"/>
    </row>
    <row r="87" spans="1:12" ht="18">
      <c r="A87" s="104" t="s">
        <v>100</v>
      </c>
      <c r="B87" s="106"/>
      <c r="C87" s="106"/>
      <c r="D87" s="106"/>
      <c r="E87" s="106"/>
      <c r="F87" s="106"/>
      <c r="G87" s="106"/>
      <c r="H87" s="106"/>
      <c r="I87" s="106"/>
      <c r="J87" s="106"/>
      <c r="K87" s="106"/>
      <c r="L87" s="106"/>
    </row>
    <row r="88" spans="1:12" ht="6" customHeight="1">
      <c r="A88" s="106"/>
      <c r="B88" s="106"/>
      <c r="C88" s="106"/>
      <c r="D88" s="106"/>
      <c r="E88" s="106"/>
      <c r="F88" s="106"/>
      <c r="G88" s="106"/>
      <c r="H88" s="106"/>
      <c r="I88" s="106"/>
      <c r="J88" s="106"/>
      <c r="K88" s="106"/>
      <c r="L88" s="106"/>
    </row>
    <row r="89" spans="1:12" ht="16.5" thickBot="1">
      <c r="A89" s="106"/>
      <c r="B89" s="112" t="s">
        <v>462</v>
      </c>
      <c r="L89" s="106"/>
    </row>
    <row r="90" spans="1:12" ht="78.75">
      <c r="A90" s="106"/>
      <c r="B90" s="113" t="s">
        <v>463</v>
      </c>
      <c r="C90" s="114" t="s">
        <v>464</v>
      </c>
      <c r="D90" s="115"/>
      <c r="E90" s="116" t="s">
        <v>465</v>
      </c>
      <c r="F90" s="116" t="s">
        <v>466</v>
      </c>
      <c r="G90" s="164" t="s">
        <v>294</v>
      </c>
      <c r="H90" s="117" t="s">
        <v>468</v>
      </c>
      <c r="I90" s="118"/>
      <c r="J90" s="1021" t="s">
        <v>469</v>
      </c>
      <c r="K90" s="220" t="s">
        <v>470</v>
      </c>
      <c r="L90" s="106"/>
    </row>
    <row r="91" spans="1:12" ht="15.75">
      <c r="A91" s="106"/>
      <c r="B91" s="119"/>
      <c r="C91" s="120"/>
      <c r="D91" s="121"/>
      <c r="E91" s="122"/>
      <c r="F91" s="122"/>
      <c r="G91" s="122"/>
      <c r="H91" s="122" t="s">
        <v>471</v>
      </c>
      <c r="I91" s="122" t="s">
        <v>472</v>
      </c>
      <c r="J91" s="1022"/>
      <c r="K91" s="1015"/>
      <c r="L91" s="106"/>
    </row>
    <row r="92" spans="1:12" ht="15.75">
      <c r="A92" s="106"/>
      <c r="B92" s="124"/>
      <c r="C92" s="125"/>
      <c r="D92" s="126"/>
      <c r="E92" s="127" t="s">
        <v>473</v>
      </c>
      <c r="F92" s="127" t="s">
        <v>474</v>
      </c>
      <c r="G92" s="127" t="s">
        <v>475</v>
      </c>
      <c r="H92" s="127" t="s">
        <v>476</v>
      </c>
      <c r="I92" s="127" t="s">
        <v>477</v>
      </c>
      <c r="J92" s="1023" t="s">
        <v>478</v>
      </c>
      <c r="K92" s="1016" t="s">
        <v>479</v>
      </c>
      <c r="L92" s="106"/>
    </row>
    <row r="93" spans="2:11" ht="18.75">
      <c r="B93" s="128">
        <v>49</v>
      </c>
      <c r="C93" s="129" t="s">
        <v>101</v>
      </c>
      <c r="D93" s="130"/>
      <c r="E93" s="131"/>
      <c r="F93" s="131"/>
      <c r="G93" s="131"/>
      <c r="H93" s="131"/>
      <c r="I93" s="131"/>
      <c r="J93" s="1024"/>
      <c r="K93" s="1017"/>
    </row>
    <row r="94" spans="2:11" ht="16.5" customHeight="1">
      <c r="B94" s="128">
        <v>50</v>
      </c>
      <c r="C94" s="135"/>
      <c r="D94" s="130" t="s">
        <v>102</v>
      </c>
      <c r="E94" s="133">
        <v>2110</v>
      </c>
      <c r="F94" s="134"/>
      <c r="G94" s="134"/>
      <c r="H94" s="134"/>
      <c r="I94" s="134"/>
      <c r="J94" s="1025">
        <f aca="true" t="shared" si="4" ref="J94:J99">+G94-H94+I94</f>
        <v>0</v>
      </c>
      <c r="K94" s="1142"/>
    </row>
    <row r="95" spans="2:11" ht="16.5" customHeight="1">
      <c r="B95" s="128">
        <v>51</v>
      </c>
      <c r="C95" s="135"/>
      <c r="D95" s="130" t="s">
        <v>103</v>
      </c>
      <c r="E95" s="133">
        <v>2120</v>
      </c>
      <c r="F95" s="134"/>
      <c r="G95" s="134"/>
      <c r="H95" s="134"/>
      <c r="I95" s="134"/>
      <c r="J95" s="1025">
        <f t="shared" si="4"/>
        <v>0</v>
      </c>
      <c r="K95" s="1142"/>
    </row>
    <row r="96" spans="2:11" ht="31.5">
      <c r="B96" s="136">
        <v>52</v>
      </c>
      <c r="C96" s="135"/>
      <c r="D96" s="137" t="s">
        <v>104</v>
      </c>
      <c r="E96" s="138">
        <v>2130</v>
      </c>
      <c r="F96" s="139"/>
      <c r="G96" s="139"/>
      <c r="H96" s="139"/>
      <c r="I96" s="139"/>
      <c r="J96" s="1026">
        <f t="shared" si="4"/>
        <v>0</v>
      </c>
      <c r="K96" s="1143"/>
    </row>
    <row r="97" spans="2:11" ht="16.5" customHeight="1">
      <c r="B97" s="128">
        <v>53</v>
      </c>
      <c r="C97" s="135"/>
      <c r="D97" s="130" t="s">
        <v>429</v>
      </c>
      <c r="E97" s="133">
        <v>2140</v>
      </c>
      <c r="F97" s="134"/>
      <c r="G97" s="134"/>
      <c r="H97" s="134"/>
      <c r="I97" s="134"/>
      <c r="J97" s="1025">
        <f t="shared" si="4"/>
        <v>0</v>
      </c>
      <c r="K97" s="1142"/>
    </row>
    <row r="98" spans="2:11" ht="16.5" customHeight="1">
      <c r="B98" s="128">
        <v>54</v>
      </c>
      <c r="C98" s="135"/>
      <c r="D98" s="130" t="s">
        <v>430</v>
      </c>
      <c r="E98" s="133">
        <v>2150</v>
      </c>
      <c r="F98" s="134"/>
      <c r="G98" s="134"/>
      <c r="H98" s="134"/>
      <c r="I98" s="134"/>
      <c r="J98" s="1025">
        <f t="shared" si="4"/>
        <v>0</v>
      </c>
      <c r="K98" s="1142"/>
    </row>
    <row r="99" spans="2:11" ht="16.5" customHeight="1">
      <c r="B99" s="128">
        <v>55</v>
      </c>
      <c r="C99" s="135"/>
      <c r="D99" s="130" t="s">
        <v>431</v>
      </c>
      <c r="E99" s="133">
        <v>2160</v>
      </c>
      <c r="F99" s="134"/>
      <c r="G99" s="134"/>
      <c r="H99" s="134"/>
      <c r="I99" s="134"/>
      <c r="J99" s="1025">
        <f t="shared" si="4"/>
        <v>0</v>
      </c>
      <c r="K99" s="1142"/>
    </row>
    <row r="100" spans="2:11" ht="16.5" customHeight="1">
      <c r="B100" s="128">
        <v>56</v>
      </c>
      <c r="C100" s="135"/>
      <c r="D100" s="130" t="s">
        <v>432</v>
      </c>
      <c r="E100" s="133">
        <v>2170</v>
      </c>
      <c r="F100" s="134"/>
      <c r="G100" s="134"/>
      <c r="H100" s="134"/>
      <c r="I100" s="134"/>
      <c r="J100" s="1027" t="str">
        <f>IF(+G100-H100+I100=0,"  ","ERR!!!!!!")</f>
        <v>  </v>
      </c>
      <c r="K100" s="1142"/>
    </row>
    <row r="101" spans="2:11" ht="16.5" customHeight="1">
      <c r="B101" s="128">
        <v>57</v>
      </c>
      <c r="C101" s="135"/>
      <c r="D101" s="130" t="s">
        <v>433</v>
      </c>
      <c r="E101" s="133">
        <v>2180</v>
      </c>
      <c r="F101" s="134"/>
      <c r="G101" s="134"/>
      <c r="H101" s="134"/>
      <c r="I101" s="134"/>
      <c r="J101" s="1025">
        <f>+G101-H101+I101</f>
        <v>0</v>
      </c>
      <c r="K101" s="1142"/>
    </row>
    <row r="102" spans="2:11" ht="15.75">
      <c r="B102" s="136">
        <v>58</v>
      </c>
      <c r="C102" s="135"/>
      <c r="D102" s="137" t="s">
        <v>733</v>
      </c>
      <c r="E102" s="138">
        <v>2190</v>
      </c>
      <c r="F102" s="139"/>
      <c r="G102" s="139"/>
      <c r="H102" s="139"/>
      <c r="I102" s="139"/>
      <c r="J102" s="1026">
        <f>+G102-H102+I102</f>
        <v>0</v>
      </c>
      <c r="K102" s="1143"/>
    </row>
    <row r="103" spans="2:11" ht="15.75">
      <c r="B103" s="141">
        <v>59</v>
      </c>
      <c r="C103" s="155" t="s">
        <v>434</v>
      </c>
      <c r="D103" s="101"/>
      <c r="E103" s="101"/>
      <c r="F103" s="157">
        <f>ROUND(SUM(F94:F102),0)</f>
        <v>0</v>
      </c>
      <c r="G103" s="157">
        <f>ROUND(SUM(G94:G102),0)</f>
        <v>0</v>
      </c>
      <c r="H103" s="157">
        <f>ROUND(SUM(H94:H102),0)</f>
        <v>0</v>
      </c>
      <c r="I103" s="157">
        <f>ROUND(SUM(I94:I102),0)</f>
        <v>0</v>
      </c>
      <c r="J103" s="1028">
        <f>ROUND(SUM(J94:J102),0)</f>
        <v>0</v>
      </c>
      <c r="K103" s="1144"/>
    </row>
    <row r="104" spans="2:11" s="150" customFormat="1" ht="11.25">
      <c r="B104" s="166"/>
      <c r="C104" s="167" t="s">
        <v>435</v>
      </c>
      <c r="D104" s="168"/>
      <c r="E104" s="168"/>
      <c r="F104" s="170"/>
      <c r="G104" s="170"/>
      <c r="H104" s="170"/>
      <c r="I104" s="170"/>
      <c r="J104" s="1029"/>
      <c r="K104" s="1018"/>
    </row>
    <row r="105" spans="2:11" ht="18.75">
      <c r="B105" s="128">
        <v>60</v>
      </c>
      <c r="C105" s="129" t="s">
        <v>436</v>
      </c>
      <c r="D105" s="130"/>
      <c r="E105" s="131"/>
      <c r="F105" s="172"/>
      <c r="G105" s="172"/>
      <c r="H105" s="172"/>
      <c r="I105" s="172"/>
      <c r="J105" s="1030"/>
      <c r="K105" s="1019"/>
    </row>
    <row r="106" spans="2:11" ht="16.5" customHeight="1">
      <c r="B106" s="128">
        <v>61</v>
      </c>
      <c r="C106" s="135"/>
      <c r="D106" s="130" t="s">
        <v>437</v>
      </c>
      <c r="E106" s="133">
        <v>2510</v>
      </c>
      <c r="F106" s="134"/>
      <c r="G106" s="134"/>
      <c r="H106" s="134"/>
      <c r="I106" s="134"/>
      <c r="J106" s="1025">
        <f aca="true" t="shared" si="5" ref="J106:J112">+G106-H106+I106</f>
        <v>0</v>
      </c>
      <c r="K106" s="1142"/>
    </row>
    <row r="107" spans="2:11" ht="16.5" customHeight="1">
      <c r="B107" s="128">
        <v>62</v>
      </c>
      <c r="C107" s="135"/>
      <c r="D107" s="130" t="s">
        <v>103</v>
      </c>
      <c r="E107" s="133">
        <v>2520</v>
      </c>
      <c r="F107" s="134"/>
      <c r="G107" s="134"/>
      <c r="H107" s="134"/>
      <c r="I107" s="134"/>
      <c r="J107" s="1025">
        <f t="shared" si="5"/>
        <v>0</v>
      </c>
      <c r="K107" s="1142"/>
    </row>
    <row r="108" spans="2:11" ht="16.5" customHeight="1">
      <c r="B108" s="128">
        <v>63</v>
      </c>
      <c r="C108" s="135"/>
      <c r="D108" s="130" t="s">
        <v>438</v>
      </c>
      <c r="E108" s="133">
        <v>2530</v>
      </c>
      <c r="F108" s="134"/>
      <c r="G108" s="134"/>
      <c r="H108" s="134"/>
      <c r="I108" s="134"/>
      <c r="J108" s="1025">
        <f t="shared" si="5"/>
        <v>0</v>
      </c>
      <c r="K108" s="1142"/>
    </row>
    <row r="109" spans="2:11" ht="16.5" customHeight="1">
      <c r="B109" s="128">
        <v>64</v>
      </c>
      <c r="C109" s="135"/>
      <c r="D109" s="130" t="s">
        <v>439</v>
      </c>
      <c r="E109" s="133">
        <v>2540</v>
      </c>
      <c r="F109" s="134"/>
      <c r="G109" s="134"/>
      <c r="H109" s="134"/>
      <c r="I109" s="134"/>
      <c r="J109" s="1025">
        <f t="shared" si="5"/>
        <v>0</v>
      </c>
      <c r="K109" s="1142"/>
    </row>
    <row r="110" spans="2:11" ht="16.5" customHeight="1">
      <c r="B110" s="128">
        <v>65</v>
      </c>
      <c r="C110" s="135"/>
      <c r="D110" s="130" t="s">
        <v>440</v>
      </c>
      <c r="E110" s="133">
        <v>2550</v>
      </c>
      <c r="F110" s="134"/>
      <c r="G110" s="134"/>
      <c r="H110" s="134"/>
      <c r="I110" s="134"/>
      <c r="J110" s="1025">
        <f t="shared" si="5"/>
        <v>0</v>
      </c>
      <c r="K110" s="1142"/>
    </row>
    <row r="111" spans="2:11" ht="16.5" customHeight="1">
      <c r="B111" s="128">
        <v>66</v>
      </c>
      <c r="C111" s="135"/>
      <c r="D111" s="130" t="s">
        <v>441</v>
      </c>
      <c r="E111" s="133">
        <v>2560</v>
      </c>
      <c r="F111" s="134"/>
      <c r="G111" s="134"/>
      <c r="H111" s="134"/>
      <c r="I111" s="134"/>
      <c r="J111" s="1025">
        <f t="shared" si="5"/>
        <v>0</v>
      </c>
      <c r="K111" s="1142"/>
    </row>
    <row r="112" spans="2:11" ht="15.75">
      <c r="B112" s="136">
        <v>67</v>
      </c>
      <c r="C112" s="135"/>
      <c r="D112" s="137" t="s">
        <v>734</v>
      </c>
      <c r="E112" s="138">
        <v>2570</v>
      </c>
      <c r="F112" s="139"/>
      <c r="G112" s="139"/>
      <c r="H112" s="139"/>
      <c r="I112" s="139"/>
      <c r="J112" s="1026">
        <f t="shared" si="5"/>
        <v>0</v>
      </c>
      <c r="K112" s="1143"/>
    </row>
    <row r="113" spans="2:11" ht="15.75">
      <c r="B113" s="141">
        <v>68</v>
      </c>
      <c r="C113" s="155" t="s">
        <v>442</v>
      </c>
      <c r="D113" s="101"/>
      <c r="E113" s="101"/>
      <c r="F113" s="157">
        <f>ROUND(SUM(F106:F112),0)</f>
        <v>0</v>
      </c>
      <c r="G113" s="157">
        <f>ROUND(SUM(G106:G112),0)</f>
        <v>0</v>
      </c>
      <c r="H113" s="157">
        <f>ROUND(SUM(H106:H112),0)</f>
        <v>0</v>
      </c>
      <c r="I113" s="157">
        <f>ROUND(SUM(I106:I112),0)</f>
        <v>0</v>
      </c>
      <c r="J113" s="1028">
        <f>ROUND(SUM(J106:J112),0)</f>
        <v>0</v>
      </c>
      <c r="K113" s="1144"/>
    </row>
    <row r="114" spans="2:11" s="150" customFormat="1" ht="11.25">
      <c r="B114" s="166"/>
      <c r="C114" s="167" t="s">
        <v>443</v>
      </c>
      <c r="D114" s="168"/>
      <c r="E114" s="168"/>
      <c r="F114" s="170"/>
      <c r="G114" s="170"/>
      <c r="H114" s="170"/>
      <c r="I114" s="170"/>
      <c r="J114" s="1029"/>
      <c r="K114" s="1018"/>
    </row>
    <row r="115" spans="2:11" ht="18.75">
      <c r="B115" s="128">
        <v>69</v>
      </c>
      <c r="C115" s="129" t="s">
        <v>444</v>
      </c>
      <c r="D115" s="130"/>
      <c r="E115" s="131"/>
      <c r="F115" s="172"/>
      <c r="G115" s="172"/>
      <c r="H115" s="172"/>
      <c r="I115" s="172"/>
      <c r="J115" s="1030"/>
      <c r="K115" s="1019"/>
    </row>
    <row r="116" spans="2:11" ht="15.75">
      <c r="B116" s="128">
        <v>70</v>
      </c>
      <c r="C116" s="135"/>
      <c r="D116" s="130" t="s">
        <v>445</v>
      </c>
      <c r="E116" s="131"/>
      <c r="F116" s="172"/>
      <c r="G116" s="172"/>
      <c r="H116" s="172"/>
      <c r="I116" s="172"/>
      <c r="J116" s="1030"/>
      <c r="K116" s="1019"/>
    </row>
    <row r="117" spans="2:11" ht="16.5" customHeight="1">
      <c r="B117" s="128">
        <v>71</v>
      </c>
      <c r="C117" s="135"/>
      <c r="D117" s="130" t="s">
        <v>446</v>
      </c>
      <c r="E117" s="133">
        <v>3110</v>
      </c>
      <c r="F117" s="134"/>
      <c r="G117" s="134"/>
      <c r="H117" s="134"/>
      <c r="I117" s="134"/>
      <c r="J117" s="1025">
        <f aca="true" t="shared" si="6" ref="J117:J125">+G117-H117+I117</f>
        <v>0</v>
      </c>
      <c r="K117" s="1142"/>
    </row>
    <row r="118" spans="2:11" ht="16.5" customHeight="1">
      <c r="B118" s="128">
        <v>72</v>
      </c>
      <c r="C118" s="135"/>
      <c r="D118" s="130" t="s">
        <v>447</v>
      </c>
      <c r="E118" s="133">
        <v>3120</v>
      </c>
      <c r="F118" s="134"/>
      <c r="G118" s="134"/>
      <c r="H118" s="134"/>
      <c r="I118" s="134"/>
      <c r="J118" s="1025">
        <f t="shared" si="6"/>
        <v>0</v>
      </c>
      <c r="K118" s="1142"/>
    </row>
    <row r="119" spans="2:11" ht="16.5" customHeight="1">
      <c r="B119" s="128">
        <v>73</v>
      </c>
      <c r="C119" s="135"/>
      <c r="D119" s="130" t="s">
        <v>448</v>
      </c>
      <c r="E119" s="133">
        <v>3130</v>
      </c>
      <c r="F119" s="134"/>
      <c r="G119" s="134"/>
      <c r="H119" s="134"/>
      <c r="I119" s="134"/>
      <c r="J119" s="1025">
        <f t="shared" si="6"/>
        <v>0</v>
      </c>
      <c r="K119" s="1142"/>
    </row>
    <row r="120" spans="2:11" ht="16.5" customHeight="1">
      <c r="B120" s="128">
        <v>74</v>
      </c>
      <c r="C120" s="135"/>
      <c r="D120" s="130" t="s">
        <v>449</v>
      </c>
      <c r="E120" s="133">
        <v>3200</v>
      </c>
      <c r="F120" s="134"/>
      <c r="G120" s="134"/>
      <c r="H120" s="134"/>
      <c r="I120" s="134"/>
      <c r="J120" s="1025">
        <f t="shared" si="6"/>
        <v>0</v>
      </c>
      <c r="K120" s="1142"/>
    </row>
    <row r="121" spans="2:11" ht="16.5" customHeight="1">
      <c r="B121" s="128">
        <v>75</v>
      </c>
      <c r="C121" s="135"/>
      <c r="D121" s="130" t="s">
        <v>450</v>
      </c>
      <c r="E121" s="133">
        <v>7062</v>
      </c>
      <c r="F121" s="134"/>
      <c r="G121" s="134"/>
      <c r="H121" s="134"/>
      <c r="I121" s="134"/>
      <c r="J121" s="1025">
        <f t="shared" si="6"/>
        <v>0</v>
      </c>
      <c r="K121" s="1142"/>
    </row>
    <row r="122" spans="2:11" ht="16.5" customHeight="1">
      <c r="B122" s="128">
        <v>76</v>
      </c>
      <c r="C122" s="135"/>
      <c r="D122" s="130" t="s">
        <v>451</v>
      </c>
      <c r="E122" s="133">
        <v>7063</v>
      </c>
      <c r="F122" s="134"/>
      <c r="G122" s="134"/>
      <c r="H122" s="134"/>
      <c r="I122" s="134"/>
      <c r="J122" s="1025">
        <f t="shared" si="6"/>
        <v>0</v>
      </c>
      <c r="K122" s="1142"/>
    </row>
    <row r="123" spans="2:11" ht="16.5" customHeight="1">
      <c r="B123" s="128">
        <v>77</v>
      </c>
      <c r="C123" s="135"/>
      <c r="D123" s="130" t="s">
        <v>452</v>
      </c>
      <c r="E123" s="133">
        <v>3100</v>
      </c>
      <c r="F123" s="134"/>
      <c r="G123" s="134"/>
      <c r="H123" s="134"/>
      <c r="I123" s="134"/>
      <c r="J123" s="1025">
        <f t="shared" si="6"/>
        <v>0</v>
      </c>
      <c r="K123" s="1142"/>
    </row>
    <row r="124" spans="2:11" ht="16.5" customHeight="1">
      <c r="B124" s="128">
        <v>78</v>
      </c>
      <c r="C124" s="135"/>
      <c r="D124" s="130" t="s">
        <v>453</v>
      </c>
      <c r="E124" s="133">
        <v>3300</v>
      </c>
      <c r="F124" s="134"/>
      <c r="G124" s="134"/>
      <c r="H124" s="134"/>
      <c r="I124" s="134"/>
      <c r="J124" s="1025">
        <f t="shared" si="6"/>
        <v>0</v>
      </c>
      <c r="K124" s="1142"/>
    </row>
    <row r="125" spans="2:11" ht="16.5" customHeight="1">
      <c r="B125" s="128">
        <v>79</v>
      </c>
      <c r="C125" s="135"/>
      <c r="D125" s="130" t="s">
        <v>454</v>
      </c>
      <c r="E125" s="133">
        <v>3400</v>
      </c>
      <c r="F125" s="134"/>
      <c r="G125" s="134"/>
      <c r="H125" s="134"/>
      <c r="I125" s="134"/>
      <c r="J125" s="1025">
        <f t="shared" si="6"/>
        <v>0</v>
      </c>
      <c r="K125" s="1142"/>
    </row>
    <row r="126" spans="2:11" ht="15.75">
      <c r="B126" s="141">
        <v>80</v>
      </c>
      <c r="C126" s="155" t="s">
        <v>455</v>
      </c>
      <c r="D126" s="101"/>
      <c r="E126" s="101"/>
      <c r="F126" s="157">
        <f>ROUND(SUM(F117:F125),0)</f>
        <v>0</v>
      </c>
      <c r="G126" s="157">
        <f>ROUND(SUM(G117:G125),0)</f>
        <v>0</v>
      </c>
      <c r="H126" s="157">
        <f>ROUND(SUM(H117:H125),0)</f>
        <v>0</v>
      </c>
      <c r="I126" s="157">
        <f>ROUND(SUM(I117:I125),0)</f>
        <v>0</v>
      </c>
      <c r="J126" s="1028">
        <f>ROUND(SUM(J117:J125),0)</f>
        <v>0</v>
      </c>
      <c r="K126" s="1144"/>
    </row>
    <row r="127" spans="2:11" s="150" customFormat="1" ht="11.25">
      <c r="B127" s="166"/>
      <c r="C127" s="167" t="s">
        <v>456</v>
      </c>
      <c r="D127" s="168"/>
      <c r="E127" s="168"/>
      <c r="F127" s="170"/>
      <c r="G127" s="170"/>
      <c r="H127" s="170"/>
      <c r="I127" s="170"/>
      <c r="J127" s="1029"/>
      <c r="K127" s="1018"/>
    </row>
    <row r="128" spans="2:11" ht="18.75">
      <c r="B128" s="141">
        <v>81</v>
      </c>
      <c r="C128" s="173" t="s">
        <v>179</v>
      </c>
      <c r="D128" s="101"/>
      <c r="E128" s="101"/>
      <c r="F128" s="157">
        <f>ROUND(SUM(+F103+F113+F126),0)</f>
        <v>0</v>
      </c>
      <c r="G128" s="157">
        <f>ROUND(SUM(+G103+G113+G126),0)</f>
        <v>0</v>
      </c>
      <c r="H128" s="157">
        <f>ROUND(SUM(+H103+H113+H126),0)</f>
        <v>0</v>
      </c>
      <c r="I128" s="157">
        <f>ROUND(SUM(+I103+I113+I126),0)</f>
        <v>0</v>
      </c>
      <c r="J128" s="1031">
        <f>IF((+J103+J113+J126)=J78,(J103+J113+J126),"ERR!!!!!!")</f>
        <v>0</v>
      </c>
      <c r="K128" s="1144"/>
    </row>
    <row r="129" spans="2:11" s="150" customFormat="1" ht="12" thickBot="1">
      <c r="B129" s="158"/>
      <c r="C129" s="159" t="s">
        <v>180</v>
      </c>
      <c r="D129" s="160"/>
      <c r="E129" s="160"/>
      <c r="F129" s="159"/>
      <c r="G129" s="159"/>
      <c r="H129" s="159"/>
      <c r="I129" s="159"/>
      <c r="J129" s="1032"/>
      <c r="K129" s="1020"/>
    </row>
    <row r="130" ht="15.75">
      <c r="B130" s="108"/>
    </row>
    <row r="131" ht="15.75">
      <c r="B131" s="108"/>
    </row>
  </sheetData>
  <sheetProtection password="EE7C" sheet="1"/>
  <printOptions/>
  <pageMargins left="0.26" right="0.18" top="0.53" bottom="0.75" header="0.25" footer="0.25"/>
  <pageSetup firstPageNumber="3" useFirstPageNumber="1" fitToHeight="0" fitToWidth="1" horizontalDpi="600" verticalDpi="600" orientation="portrait" scale="61" r:id="rId1"/>
  <headerFooter alignWithMargins="0">
    <oddFooter>&amp;LDSHS 23-003&amp;C&amp;P+2&amp;RSchedule B (Page &amp;P-2 o&amp;Of 3)</oddFooter>
  </headerFooter>
  <rowBreaks count="2" manualBreakCount="2">
    <brk id="51" max="65535" man="1"/>
    <brk id="79" max="65535" man="1"/>
  </rowBreaks>
</worksheet>
</file>

<file path=xl/worksheets/sheet4.xml><?xml version="1.0" encoding="utf-8"?>
<worksheet xmlns="http://schemas.openxmlformats.org/spreadsheetml/2006/main" xmlns:r="http://schemas.openxmlformats.org/officeDocument/2006/relationships">
  <sheetPr>
    <pageSetUpPr fitToPage="1"/>
  </sheetPr>
  <dimension ref="A1:E44"/>
  <sheetViews>
    <sheetView workbookViewId="0" topLeftCell="A1">
      <selection activeCell="B11" sqref="B11"/>
    </sheetView>
  </sheetViews>
  <sheetFormatPr defaultColWidth="9.140625" defaultRowHeight="12.75"/>
  <cols>
    <col min="1" max="1" width="4.7109375" style="190" customWidth="1"/>
    <col min="2" max="2" width="15.140625" style="190" customWidth="1"/>
    <col min="3" max="3" width="18.57421875" style="190" customWidth="1"/>
    <col min="4" max="4" width="62.140625" style="190" customWidth="1"/>
    <col min="5" max="5" width="4.7109375" style="190" customWidth="1"/>
    <col min="6" max="16384" width="9.140625" style="190" customWidth="1"/>
  </cols>
  <sheetData>
    <row r="1" spans="2:3" ht="15.75">
      <c r="B1" s="191" t="s">
        <v>265</v>
      </c>
      <c r="C1" s="921">
        <f>Schedule_B!D1</f>
        <v>0</v>
      </c>
    </row>
    <row r="2" spans="2:4" ht="15.75">
      <c r="B2" s="191" t="s">
        <v>266</v>
      </c>
      <c r="C2" s="192">
        <f>+Schedule_A!$I$8</f>
        <v>0</v>
      </c>
      <c r="D2" s="190" t="str">
        <f>Schedule_A!A3</f>
        <v>NURSING FACILITY 2019 COST REPORT</v>
      </c>
    </row>
    <row r="4" spans="1:5" ht="18">
      <c r="A4" s="193" t="s">
        <v>194</v>
      </c>
      <c r="B4" s="194"/>
      <c r="C4" s="194"/>
      <c r="D4" s="194"/>
      <c r="E4" s="194"/>
    </row>
    <row r="5" ht="6" customHeight="1"/>
    <row r="6" s="195" customFormat="1" ht="12.75">
      <c r="B6" s="195" t="s">
        <v>195</v>
      </c>
    </row>
    <row r="7" s="195" customFormat="1" ht="12.75">
      <c r="B7" s="195" t="s">
        <v>196</v>
      </c>
    </row>
    <row r="8" s="195" customFormat="1" ht="12.75">
      <c r="B8" s="1662" t="s">
        <v>717</v>
      </c>
    </row>
    <row r="9" ht="6" customHeight="1" thickBot="1"/>
    <row r="10" spans="2:4" ht="18" customHeight="1">
      <c r="B10" s="196" t="s">
        <v>197</v>
      </c>
      <c r="C10" s="197"/>
      <c r="D10" s="198"/>
    </row>
    <row r="11" spans="2:4" ht="18" customHeight="1">
      <c r="B11" s="199"/>
      <c r="C11" s="200"/>
      <c r="D11" s="201"/>
    </row>
    <row r="12" spans="2:4" ht="18" customHeight="1">
      <c r="B12" s="199"/>
      <c r="C12" s="200"/>
      <c r="D12" s="201"/>
    </row>
    <row r="13" spans="2:4" ht="18" customHeight="1">
      <c r="B13" s="199"/>
      <c r="C13" s="200"/>
      <c r="D13" s="201"/>
    </row>
    <row r="14" spans="2:4" ht="18" customHeight="1">
      <c r="B14" s="199"/>
      <c r="C14" s="200"/>
      <c r="D14" s="201"/>
    </row>
    <row r="15" spans="2:4" ht="18" customHeight="1">
      <c r="B15" s="199"/>
      <c r="C15" s="200"/>
      <c r="D15" s="201"/>
    </row>
    <row r="16" spans="2:4" ht="18" customHeight="1">
      <c r="B16" s="199"/>
      <c r="C16" s="200"/>
      <c r="D16" s="201"/>
    </row>
    <row r="17" spans="2:4" ht="18" customHeight="1">
      <c r="B17" s="199"/>
      <c r="C17" s="200"/>
      <c r="D17" s="201"/>
    </row>
    <row r="18" spans="2:4" ht="18" customHeight="1">
      <c r="B18" s="199"/>
      <c r="C18" s="200"/>
      <c r="D18" s="201"/>
    </row>
    <row r="19" spans="2:4" ht="18" customHeight="1">
      <c r="B19" s="199"/>
      <c r="C19" s="200"/>
      <c r="D19" s="201"/>
    </row>
    <row r="20" spans="2:4" ht="18" customHeight="1">
      <c r="B20" s="199"/>
      <c r="C20" s="200"/>
      <c r="D20" s="201"/>
    </row>
    <row r="21" spans="2:4" ht="18" customHeight="1">
      <c r="B21" s="199"/>
      <c r="C21" s="200"/>
      <c r="D21" s="201"/>
    </row>
    <row r="22" spans="2:4" ht="18" customHeight="1">
      <c r="B22" s="199"/>
      <c r="C22" s="200"/>
      <c r="D22" s="201"/>
    </row>
    <row r="23" spans="2:4" ht="18" customHeight="1">
      <c r="B23" s="199"/>
      <c r="C23" s="200"/>
      <c r="D23" s="201"/>
    </row>
    <row r="24" spans="2:4" ht="18" customHeight="1">
      <c r="B24" s="199"/>
      <c r="C24" s="200"/>
      <c r="D24" s="201"/>
    </row>
    <row r="25" spans="2:4" ht="18" customHeight="1">
      <c r="B25" s="199"/>
      <c r="C25" s="200"/>
      <c r="D25" s="201"/>
    </row>
    <row r="26" spans="2:4" ht="18" customHeight="1">
      <c r="B26" s="199"/>
      <c r="C26" s="200"/>
      <c r="D26" s="201"/>
    </row>
    <row r="27" spans="2:4" ht="18" customHeight="1">
      <c r="B27" s="199"/>
      <c r="C27" s="200"/>
      <c r="D27" s="201"/>
    </row>
    <row r="28" spans="2:4" ht="18" customHeight="1">
      <c r="B28" s="199"/>
      <c r="C28" s="200"/>
      <c r="D28" s="201"/>
    </row>
    <row r="29" spans="2:4" ht="18" customHeight="1">
      <c r="B29" s="199"/>
      <c r="C29" s="200"/>
      <c r="D29" s="201"/>
    </row>
    <row r="30" spans="2:4" ht="18" customHeight="1">
      <c r="B30" s="199"/>
      <c r="C30" s="200"/>
      <c r="D30" s="201"/>
    </row>
    <row r="31" spans="2:4" ht="18" customHeight="1">
      <c r="B31" s="199"/>
      <c r="C31" s="200"/>
      <c r="D31" s="201"/>
    </row>
    <row r="32" spans="2:4" ht="18" customHeight="1">
      <c r="B32" s="199"/>
      <c r="C32" s="200"/>
      <c r="D32" s="201"/>
    </row>
    <row r="33" spans="2:4" ht="18" customHeight="1">
      <c r="B33" s="199"/>
      <c r="C33" s="200"/>
      <c r="D33" s="201"/>
    </row>
    <row r="34" spans="2:4" ht="18" customHeight="1">
      <c r="B34" s="199"/>
      <c r="C34" s="200"/>
      <c r="D34" s="201"/>
    </row>
    <row r="35" spans="2:4" ht="18" customHeight="1">
      <c r="B35" s="199"/>
      <c r="C35" s="200"/>
      <c r="D35" s="201"/>
    </row>
    <row r="36" spans="2:4" ht="18" customHeight="1">
      <c r="B36" s="199"/>
      <c r="C36" s="200"/>
      <c r="D36" s="201"/>
    </row>
    <row r="37" spans="2:4" ht="18" customHeight="1">
      <c r="B37" s="199"/>
      <c r="C37" s="200"/>
      <c r="D37" s="201"/>
    </row>
    <row r="38" spans="2:4" ht="18" customHeight="1">
      <c r="B38" s="199"/>
      <c r="C38" s="200"/>
      <c r="D38" s="201"/>
    </row>
    <row r="39" spans="2:4" ht="18" customHeight="1">
      <c r="B39" s="199"/>
      <c r="C39" s="200"/>
      <c r="D39" s="201"/>
    </row>
    <row r="40" spans="2:4" ht="18" customHeight="1">
      <c r="B40" s="199"/>
      <c r="C40" s="200"/>
      <c r="D40" s="201"/>
    </row>
    <row r="41" spans="2:4" ht="18" customHeight="1">
      <c r="B41" s="199"/>
      <c r="C41" s="200"/>
      <c r="D41" s="201"/>
    </row>
    <row r="42" spans="2:4" ht="18" customHeight="1">
      <c r="B42" s="199"/>
      <c r="C42" s="200"/>
      <c r="D42" s="201"/>
    </row>
    <row r="43" spans="2:4" ht="18" customHeight="1">
      <c r="B43" s="199"/>
      <c r="C43" s="200"/>
      <c r="D43" s="201"/>
    </row>
    <row r="44" spans="2:4" ht="18" customHeight="1" thickBot="1">
      <c r="B44" s="202"/>
      <c r="C44" s="203"/>
      <c r="D44" s="204"/>
    </row>
  </sheetData>
  <sheetProtection/>
  <printOptions horizontalCentered="1"/>
  <pageMargins left="0.53" right="0.18" top="0.58" bottom="0.5" header="0.33" footer="0.18"/>
  <pageSetup fitToHeight="1" fitToWidth="1" horizontalDpi="600" verticalDpi="600" orientation="portrait" scale="94" r:id="rId1"/>
  <headerFooter alignWithMargins="0">
    <oddFooter>&amp;L&amp;8DSHS 23-003  &amp;C8&amp;RSchedule 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2995"/>
  <sheetViews>
    <sheetView zoomScale="90" zoomScaleNormal="90" workbookViewId="0" topLeftCell="A1">
      <selection activeCell="D2" sqref="D2"/>
    </sheetView>
  </sheetViews>
  <sheetFormatPr defaultColWidth="9.140625" defaultRowHeight="12.75"/>
  <cols>
    <col min="1" max="1" width="4.7109375" style="205" customWidth="1"/>
    <col min="2" max="2" width="10.140625" style="205" customWidth="1"/>
    <col min="3" max="3" width="6.7109375" style="205" customWidth="1"/>
    <col min="4" max="4" width="40.8515625" style="205" customWidth="1"/>
    <col min="5" max="5" width="14.00390625" style="205" customWidth="1"/>
    <col min="6" max="6" width="15.140625" style="205" customWidth="1"/>
    <col min="7" max="7" width="13.57421875" style="205" customWidth="1"/>
    <col min="8" max="8" width="18.8515625" style="205" customWidth="1"/>
    <col min="9" max="9" width="15.7109375" style="205" customWidth="1"/>
    <col min="10" max="10" width="20.8515625" style="390" customWidth="1"/>
    <col min="11" max="11" width="21.421875" style="1208" bestFit="1" customWidth="1"/>
    <col min="12" max="12" width="11.00390625" style="205" customWidth="1"/>
    <col min="13" max="13" width="9.140625" style="205" customWidth="1"/>
    <col min="14" max="14" width="9.140625" style="205" hidden="1" customWidth="1"/>
    <col min="15" max="15" width="15.8515625" style="209" hidden="1" customWidth="1"/>
    <col min="16" max="16" width="14.7109375" style="209" hidden="1" customWidth="1"/>
    <col min="17" max="17" width="13.57421875" style="209" hidden="1" customWidth="1"/>
    <col min="18" max="18" width="16.421875" style="209" hidden="1" customWidth="1"/>
    <col min="19" max="19" width="14.8515625" style="205" hidden="1" customWidth="1"/>
    <col min="20" max="21" width="9.140625" style="205" customWidth="1"/>
    <col min="22" max="16384" width="9.140625" style="205" customWidth="1"/>
  </cols>
  <sheetData>
    <row r="1" spans="3:5" ht="15" customHeight="1">
      <c r="C1" s="206" t="s">
        <v>265</v>
      </c>
      <c r="D1" s="922">
        <f>Schedule_B!D1</f>
        <v>0</v>
      </c>
      <c r="E1" s="208"/>
    </row>
    <row r="2" spans="3:5" ht="15" customHeight="1">
      <c r="C2" s="206" t="s">
        <v>266</v>
      </c>
      <c r="D2" s="207">
        <f>+Schedule_A!$I$8</f>
        <v>0</v>
      </c>
      <c r="E2" s="208" t="str">
        <f>Schedule_A!A3</f>
        <v>NURSING FACILITY 2019 COST REPORT</v>
      </c>
    </row>
    <row r="3" spans="3:5" ht="15.75" customHeight="1">
      <c r="C3" s="206"/>
      <c r="D3" s="210"/>
      <c r="E3" s="208"/>
    </row>
    <row r="4" spans="1:18" ht="16.5" customHeight="1">
      <c r="A4" s="211" t="s">
        <v>198</v>
      </c>
      <c r="B4" s="212"/>
      <c r="C4" s="212"/>
      <c r="D4" s="212"/>
      <c r="E4" s="212"/>
      <c r="F4" s="212"/>
      <c r="G4" s="212"/>
      <c r="H4" s="212"/>
      <c r="I4" s="212"/>
      <c r="J4" s="401"/>
      <c r="L4" s="212"/>
      <c r="O4" s="205"/>
      <c r="P4" s="205"/>
      <c r="Q4" s="205"/>
      <c r="R4" s="205"/>
    </row>
    <row r="5" spans="1:18" s="254" customFormat="1" ht="24" thickBot="1">
      <c r="A5" s="1548" t="s">
        <v>199</v>
      </c>
      <c r="B5" s="213"/>
      <c r="C5" s="213"/>
      <c r="D5" s="213"/>
      <c r="E5" s="213"/>
      <c r="F5" s="213"/>
      <c r="G5" s="213"/>
      <c r="H5" s="213"/>
      <c r="I5" s="213"/>
      <c r="J5" s="1084"/>
      <c r="K5" s="1209"/>
      <c r="L5" s="213"/>
      <c r="O5" s="255"/>
      <c r="P5" s="255"/>
      <c r="Q5" s="255"/>
      <c r="R5" s="255"/>
    </row>
    <row r="6" spans="2:10" ht="67.5" customHeight="1">
      <c r="B6" s="214" t="s">
        <v>200</v>
      </c>
      <c r="C6" s="215"/>
      <c r="D6" s="216"/>
      <c r="E6" s="1677" t="s">
        <v>464</v>
      </c>
      <c r="F6" s="217" t="s">
        <v>193</v>
      </c>
      <c r="G6" s="218" t="s">
        <v>468</v>
      </c>
      <c r="H6" s="219"/>
      <c r="I6" s="217" t="s">
        <v>201</v>
      </c>
      <c r="J6" s="1085" t="s">
        <v>202</v>
      </c>
    </row>
    <row r="7" spans="2:10" ht="15" customHeight="1">
      <c r="B7" s="221" t="s">
        <v>203</v>
      </c>
      <c r="C7" s="222" t="s">
        <v>464</v>
      </c>
      <c r="D7" s="223"/>
      <c r="E7" s="1678" t="s">
        <v>204</v>
      </c>
      <c r="F7" s="224" t="s">
        <v>205</v>
      </c>
      <c r="G7" s="224" t="s">
        <v>471</v>
      </c>
      <c r="H7" s="224" t="s">
        <v>472</v>
      </c>
      <c r="I7" s="236" t="s">
        <v>193</v>
      </c>
      <c r="J7" s="1086"/>
    </row>
    <row r="8" spans="2:18" s="225" customFormat="1" ht="12.75">
      <c r="B8" s="226"/>
      <c r="C8" s="227"/>
      <c r="D8" s="228"/>
      <c r="E8" s="1679" t="s">
        <v>473</v>
      </c>
      <c r="F8" s="229" t="s">
        <v>474</v>
      </c>
      <c r="G8" s="229" t="s">
        <v>475</v>
      </c>
      <c r="H8" s="229" t="s">
        <v>476</v>
      </c>
      <c r="I8" s="229" t="s">
        <v>477</v>
      </c>
      <c r="J8" s="1087" t="s">
        <v>478</v>
      </c>
      <c r="K8" s="1210"/>
      <c r="O8" s="230"/>
      <c r="P8" s="230"/>
      <c r="Q8" s="230"/>
      <c r="R8" s="230"/>
    </row>
    <row r="9" spans="2:10" ht="18" customHeight="1">
      <c r="B9" s="231">
        <v>1</v>
      </c>
      <c r="C9" s="232" t="s">
        <v>206</v>
      </c>
      <c r="D9" s="233"/>
      <c r="E9" s="1680"/>
      <c r="F9" s="234"/>
      <c r="G9" s="234"/>
      <c r="H9" s="234"/>
      <c r="I9" s="234"/>
      <c r="J9" s="1088"/>
    </row>
    <row r="10" spans="2:18" ht="18" customHeight="1">
      <c r="B10" s="231">
        <v>2</v>
      </c>
      <c r="C10" s="235"/>
      <c r="D10" s="233" t="s">
        <v>207</v>
      </c>
      <c r="E10" s="1681">
        <v>4110</v>
      </c>
      <c r="F10" s="237"/>
      <c r="G10" s="237"/>
      <c r="H10" s="237"/>
      <c r="I10" s="1012">
        <f>+F10+H10-G10</f>
        <v>0</v>
      </c>
      <c r="J10" s="1089"/>
      <c r="O10" s="238">
        <f aca="true" t="shared" si="0" ref="O10:Q13">ROUND(F10,0)</f>
        <v>0</v>
      </c>
      <c r="P10" s="238">
        <f t="shared" si="0"/>
        <v>0</v>
      </c>
      <c r="Q10" s="238">
        <f t="shared" si="0"/>
        <v>0</v>
      </c>
      <c r="R10" s="238">
        <f>IF(ISTEXT(I10),0,ROUND(I10,0))</f>
        <v>0</v>
      </c>
    </row>
    <row r="11" spans="2:18" ht="18" customHeight="1">
      <c r="B11" s="231">
        <v>3</v>
      </c>
      <c r="C11" s="239"/>
      <c r="D11" s="233" t="s">
        <v>208</v>
      </c>
      <c r="E11" s="1681">
        <v>4120</v>
      </c>
      <c r="F11" s="237"/>
      <c r="G11" s="237"/>
      <c r="H11" s="237"/>
      <c r="I11" s="1012">
        <f>+F11+H11-G11</f>
        <v>0</v>
      </c>
      <c r="J11" s="1089"/>
      <c r="O11" s="238">
        <f t="shared" si="0"/>
        <v>0</v>
      </c>
      <c r="P11" s="238">
        <f t="shared" si="0"/>
        <v>0</v>
      </c>
      <c r="Q11" s="238">
        <f t="shared" si="0"/>
        <v>0</v>
      </c>
      <c r="R11" s="238">
        <f>IF(ISTEXT(I11),0,ROUND(I11,0))</f>
        <v>0</v>
      </c>
    </row>
    <row r="12" spans="2:18" ht="18" customHeight="1">
      <c r="B12" s="231">
        <v>4</v>
      </c>
      <c r="C12" s="239"/>
      <c r="D12" s="233" t="s">
        <v>209</v>
      </c>
      <c r="E12" s="1681">
        <v>4130</v>
      </c>
      <c r="F12" s="237"/>
      <c r="G12" s="237"/>
      <c r="H12" s="237"/>
      <c r="I12" s="1012">
        <f>+F12+H12-G12</f>
        <v>0</v>
      </c>
      <c r="J12" s="1089"/>
      <c r="O12" s="238">
        <f t="shared" si="0"/>
        <v>0</v>
      </c>
      <c r="P12" s="238">
        <f t="shared" si="0"/>
        <v>0</v>
      </c>
      <c r="Q12" s="238">
        <f t="shared" si="0"/>
        <v>0</v>
      </c>
      <c r="R12" s="238">
        <f>IF(ISTEXT(I12),0,ROUND(I12,0))</f>
        <v>0</v>
      </c>
    </row>
    <row r="13" spans="2:18" ht="18" customHeight="1">
      <c r="B13" s="231">
        <v>5</v>
      </c>
      <c r="C13" s="239"/>
      <c r="D13" s="240" t="s">
        <v>210</v>
      </c>
      <c r="E13" s="1681">
        <v>4140</v>
      </c>
      <c r="F13" s="237"/>
      <c r="G13" s="237"/>
      <c r="H13" s="237"/>
      <c r="I13" s="1012">
        <f>+F13+H13-G13</f>
        <v>0</v>
      </c>
      <c r="J13" s="1089"/>
      <c r="O13" s="238">
        <f t="shared" si="0"/>
        <v>0</v>
      </c>
      <c r="P13" s="238">
        <f t="shared" si="0"/>
        <v>0</v>
      </c>
      <c r="Q13" s="238">
        <f t="shared" si="0"/>
        <v>0</v>
      </c>
      <c r="R13" s="238">
        <f>IF(ISTEXT(I13),0,ROUND(I13,0))</f>
        <v>0</v>
      </c>
    </row>
    <row r="14" spans="2:18" ht="18" customHeight="1">
      <c r="B14" s="231">
        <v>6</v>
      </c>
      <c r="C14" s="239" t="s">
        <v>211</v>
      </c>
      <c r="D14" s="233"/>
      <c r="E14" s="1681">
        <v>4100</v>
      </c>
      <c r="F14" s="241">
        <f>O14</f>
        <v>0</v>
      </c>
      <c r="G14" s="241">
        <f>P14</f>
        <v>0</v>
      </c>
      <c r="H14" s="241">
        <f>Q14</f>
        <v>0</v>
      </c>
      <c r="I14" s="1012">
        <f>R14</f>
        <v>0</v>
      </c>
      <c r="J14" s="1089"/>
      <c r="O14" s="238">
        <f>ROUND(SUM(O10:O13),0)</f>
        <v>0</v>
      </c>
      <c r="P14" s="238">
        <f>ROUND(SUM(P10:P13),0)</f>
        <v>0</v>
      </c>
      <c r="Q14" s="238">
        <f>ROUND(SUM(Q10:Q13),0)</f>
        <v>0</v>
      </c>
      <c r="R14" s="238">
        <f>ROUND(SUM(R10:R13),0)</f>
        <v>0</v>
      </c>
    </row>
    <row r="15" spans="2:10" ht="18" customHeight="1">
      <c r="B15" s="231">
        <v>7</v>
      </c>
      <c r="C15" s="232" t="s">
        <v>212</v>
      </c>
      <c r="D15" s="233"/>
      <c r="E15" s="1682"/>
      <c r="F15" s="242"/>
      <c r="G15" s="242"/>
      <c r="H15" s="242"/>
      <c r="I15" s="1013"/>
      <c r="J15" s="1090"/>
    </row>
    <row r="16" spans="2:18" ht="18" customHeight="1">
      <c r="B16" s="231">
        <v>8</v>
      </c>
      <c r="C16" s="239"/>
      <c r="D16" s="233" t="s">
        <v>107</v>
      </c>
      <c r="E16" s="1681">
        <v>4220</v>
      </c>
      <c r="F16" s="237"/>
      <c r="G16" s="237"/>
      <c r="H16" s="237"/>
      <c r="I16" s="1012">
        <f aca="true" t="shared" si="1" ref="I16:I26">+F16+H16-G16</f>
        <v>0</v>
      </c>
      <c r="J16" s="1089"/>
      <c r="O16" s="238">
        <f aca="true" t="shared" si="2" ref="O16:Q32">ROUND(F16,0)</f>
        <v>0</v>
      </c>
      <c r="P16" s="238">
        <f t="shared" si="2"/>
        <v>0</v>
      </c>
      <c r="Q16" s="238">
        <f t="shared" si="2"/>
        <v>0</v>
      </c>
      <c r="R16" s="238">
        <f aca="true" t="shared" si="3" ref="R16:R32">IF(ISTEXT(I16),0,ROUND(I16,0))</f>
        <v>0</v>
      </c>
    </row>
    <row r="17" spans="2:18" ht="18" customHeight="1">
      <c r="B17" s="231">
        <v>9</v>
      </c>
      <c r="C17" s="239"/>
      <c r="D17" s="233" t="s">
        <v>108</v>
      </c>
      <c r="E17" s="1681">
        <v>4240</v>
      </c>
      <c r="F17" s="237"/>
      <c r="G17" s="237"/>
      <c r="H17" s="237"/>
      <c r="I17" s="1012">
        <f t="shared" si="1"/>
        <v>0</v>
      </c>
      <c r="J17" s="1089"/>
      <c r="O17" s="238">
        <f t="shared" si="2"/>
        <v>0</v>
      </c>
      <c r="P17" s="238">
        <f t="shared" si="2"/>
        <v>0</v>
      </c>
      <c r="Q17" s="238">
        <f t="shared" si="2"/>
        <v>0</v>
      </c>
      <c r="R17" s="238">
        <f t="shared" si="3"/>
        <v>0</v>
      </c>
    </row>
    <row r="18" spans="2:18" ht="18" customHeight="1">
      <c r="B18" s="231">
        <v>10</v>
      </c>
      <c r="C18" s="239"/>
      <c r="D18" s="233" t="s">
        <v>109</v>
      </c>
      <c r="E18" s="1681">
        <v>4250</v>
      </c>
      <c r="F18" s="237"/>
      <c r="G18" s="237"/>
      <c r="H18" s="237"/>
      <c r="I18" s="1012">
        <f t="shared" si="1"/>
        <v>0</v>
      </c>
      <c r="J18" s="1089"/>
      <c r="O18" s="238">
        <f t="shared" si="2"/>
        <v>0</v>
      </c>
      <c r="P18" s="238">
        <f t="shared" si="2"/>
        <v>0</v>
      </c>
      <c r="Q18" s="238">
        <f t="shared" si="2"/>
        <v>0</v>
      </c>
      <c r="R18" s="238">
        <f t="shared" si="3"/>
        <v>0</v>
      </c>
    </row>
    <row r="19" spans="2:18" ht="18" customHeight="1">
      <c r="B19" s="231">
        <v>11</v>
      </c>
      <c r="C19" s="239"/>
      <c r="D19" s="240" t="s">
        <v>110</v>
      </c>
      <c r="E19" s="1681">
        <v>4280</v>
      </c>
      <c r="F19" s="237"/>
      <c r="G19" s="237"/>
      <c r="H19" s="237"/>
      <c r="I19" s="1012">
        <f t="shared" si="1"/>
        <v>0</v>
      </c>
      <c r="J19" s="1089"/>
      <c r="O19" s="238">
        <f t="shared" si="2"/>
        <v>0</v>
      </c>
      <c r="P19" s="238">
        <f t="shared" si="2"/>
        <v>0</v>
      </c>
      <c r="Q19" s="238">
        <f t="shared" si="2"/>
        <v>0</v>
      </c>
      <c r="R19" s="238">
        <f t="shared" si="3"/>
        <v>0</v>
      </c>
    </row>
    <row r="20" spans="2:18" ht="18" customHeight="1">
      <c r="B20" s="231">
        <v>12</v>
      </c>
      <c r="C20" s="239"/>
      <c r="D20" s="233" t="s">
        <v>111</v>
      </c>
      <c r="E20" s="1681">
        <v>4210</v>
      </c>
      <c r="F20" s="237"/>
      <c r="G20" s="237"/>
      <c r="H20" s="237"/>
      <c r="I20" s="1012">
        <f t="shared" si="1"/>
        <v>0</v>
      </c>
      <c r="J20" s="1089"/>
      <c r="O20" s="238">
        <f t="shared" si="2"/>
        <v>0</v>
      </c>
      <c r="P20" s="238">
        <f t="shared" si="2"/>
        <v>0</v>
      </c>
      <c r="Q20" s="238">
        <f t="shared" si="2"/>
        <v>0</v>
      </c>
      <c r="R20" s="238">
        <f t="shared" si="3"/>
        <v>0</v>
      </c>
    </row>
    <row r="21" spans="2:18" ht="18" customHeight="1">
      <c r="B21" s="231">
        <v>13</v>
      </c>
      <c r="C21" s="239"/>
      <c r="D21" s="233" t="s">
        <v>112</v>
      </c>
      <c r="E21" s="1681">
        <v>4230</v>
      </c>
      <c r="F21" s="237"/>
      <c r="G21" s="237"/>
      <c r="H21" s="237"/>
      <c r="I21" s="1012">
        <f t="shared" si="1"/>
        <v>0</v>
      </c>
      <c r="J21" s="1089"/>
      <c r="O21" s="238">
        <f t="shared" si="2"/>
        <v>0</v>
      </c>
      <c r="P21" s="238">
        <f t="shared" si="2"/>
        <v>0</v>
      </c>
      <c r="Q21" s="238">
        <f t="shared" si="2"/>
        <v>0</v>
      </c>
      <c r="R21" s="238">
        <f t="shared" si="3"/>
        <v>0</v>
      </c>
    </row>
    <row r="22" spans="2:18" ht="18" customHeight="1">
      <c r="B22" s="231">
        <v>14</v>
      </c>
      <c r="C22" s="239"/>
      <c r="D22" s="243" t="s">
        <v>113</v>
      </c>
      <c r="E22" s="1683">
        <v>4260</v>
      </c>
      <c r="F22" s="237"/>
      <c r="G22" s="237"/>
      <c r="H22" s="237"/>
      <c r="I22" s="1012">
        <f t="shared" si="1"/>
        <v>0</v>
      </c>
      <c r="J22" s="1089"/>
      <c r="O22" s="238">
        <f t="shared" si="2"/>
        <v>0</v>
      </c>
      <c r="P22" s="238">
        <f t="shared" si="2"/>
        <v>0</v>
      </c>
      <c r="Q22" s="238">
        <f t="shared" si="2"/>
        <v>0</v>
      </c>
      <c r="R22" s="238">
        <f t="shared" si="3"/>
        <v>0</v>
      </c>
    </row>
    <row r="23" spans="2:18" ht="18" customHeight="1">
      <c r="B23" s="231">
        <v>15</v>
      </c>
      <c r="C23" s="244"/>
      <c r="D23" s="243" t="s">
        <v>114</v>
      </c>
      <c r="E23" s="1683">
        <v>4270</v>
      </c>
      <c r="F23" s="237"/>
      <c r="G23" s="237"/>
      <c r="H23" s="237"/>
      <c r="I23" s="1012">
        <f t="shared" si="1"/>
        <v>0</v>
      </c>
      <c r="J23" s="1089"/>
      <c r="O23" s="238">
        <f t="shared" si="2"/>
        <v>0</v>
      </c>
      <c r="P23" s="238">
        <f t="shared" si="2"/>
        <v>0</v>
      </c>
      <c r="Q23" s="238">
        <f t="shared" si="2"/>
        <v>0</v>
      </c>
      <c r="R23" s="238">
        <f t="shared" si="3"/>
        <v>0</v>
      </c>
    </row>
    <row r="24" spans="2:18" ht="18" customHeight="1">
      <c r="B24" s="231">
        <v>16</v>
      </c>
      <c r="C24" s="239"/>
      <c r="D24" s="233" t="s">
        <v>115</v>
      </c>
      <c r="E24" s="1681">
        <v>4290</v>
      </c>
      <c r="F24" s="237"/>
      <c r="G24" s="237"/>
      <c r="H24" s="237"/>
      <c r="I24" s="1012">
        <f t="shared" si="1"/>
        <v>0</v>
      </c>
      <c r="J24" s="1089"/>
      <c r="O24" s="238">
        <f t="shared" si="2"/>
        <v>0</v>
      </c>
      <c r="P24" s="238">
        <f t="shared" si="2"/>
        <v>0</v>
      </c>
      <c r="Q24" s="238">
        <f t="shared" si="2"/>
        <v>0</v>
      </c>
      <c r="R24" s="238">
        <f t="shared" si="3"/>
        <v>0</v>
      </c>
    </row>
    <row r="25" spans="2:18" ht="18" customHeight="1">
      <c r="B25" s="231">
        <v>17</v>
      </c>
      <c r="C25" s="239"/>
      <c r="D25" s="1071" t="s">
        <v>116</v>
      </c>
      <c r="E25" s="1681">
        <v>4310</v>
      </c>
      <c r="F25" s="237"/>
      <c r="G25" s="237"/>
      <c r="H25" s="237"/>
      <c r="I25" s="1012">
        <f t="shared" si="1"/>
        <v>0</v>
      </c>
      <c r="J25" s="1089"/>
      <c r="O25" s="238">
        <f t="shared" si="2"/>
        <v>0</v>
      </c>
      <c r="P25" s="238">
        <f t="shared" si="2"/>
        <v>0</v>
      </c>
      <c r="Q25" s="238">
        <f t="shared" si="2"/>
        <v>0</v>
      </c>
      <c r="R25" s="238">
        <f t="shared" si="3"/>
        <v>0</v>
      </c>
    </row>
    <row r="26" spans="2:18" ht="30.75" customHeight="1">
      <c r="B26" s="231">
        <v>18</v>
      </c>
      <c r="C26" s="239"/>
      <c r="D26" s="1334" t="s">
        <v>117</v>
      </c>
      <c r="E26" s="1684">
        <v>4320</v>
      </c>
      <c r="F26" s="990"/>
      <c r="G26" s="990"/>
      <c r="H26" s="990"/>
      <c r="I26" s="1012">
        <f t="shared" si="1"/>
        <v>0</v>
      </c>
      <c r="J26" s="1089"/>
      <c r="O26" s="238">
        <f t="shared" si="2"/>
        <v>0</v>
      </c>
      <c r="P26" s="238">
        <f t="shared" si="2"/>
        <v>0</v>
      </c>
      <c r="Q26" s="238">
        <f t="shared" si="2"/>
        <v>0</v>
      </c>
      <c r="R26" s="238">
        <f t="shared" si="3"/>
        <v>0</v>
      </c>
    </row>
    <row r="27" spans="2:18" ht="18" customHeight="1">
      <c r="B27" s="231">
        <v>19</v>
      </c>
      <c r="C27" s="239"/>
      <c r="D27" s="233" t="s">
        <v>118</v>
      </c>
      <c r="E27" s="1681">
        <v>4330</v>
      </c>
      <c r="F27" s="237"/>
      <c r="G27" s="237"/>
      <c r="H27" s="237"/>
      <c r="I27" s="1012">
        <f aca="true" t="shared" si="4" ref="I27:I32">+F27+H27-G27</f>
        <v>0</v>
      </c>
      <c r="J27" s="1089"/>
      <c r="O27" s="238">
        <f t="shared" si="2"/>
        <v>0</v>
      </c>
      <c r="P27" s="238">
        <f t="shared" si="2"/>
        <v>0</v>
      </c>
      <c r="Q27" s="238">
        <f t="shared" si="2"/>
        <v>0</v>
      </c>
      <c r="R27" s="238">
        <f t="shared" si="3"/>
        <v>0</v>
      </c>
    </row>
    <row r="28" spans="2:18" ht="18" customHeight="1">
      <c r="B28" s="231">
        <v>20</v>
      </c>
      <c r="C28" s="239"/>
      <c r="D28" s="240" t="s">
        <v>119</v>
      </c>
      <c r="E28" s="1681">
        <v>4340</v>
      </c>
      <c r="F28" s="237"/>
      <c r="G28" s="237"/>
      <c r="H28" s="237"/>
      <c r="I28" s="1012">
        <f t="shared" si="4"/>
        <v>0</v>
      </c>
      <c r="J28" s="1089"/>
      <c r="O28" s="238">
        <f t="shared" si="2"/>
        <v>0</v>
      </c>
      <c r="P28" s="238">
        <f t="shared" si="2"/>
        <v>0</v>
      </c>
      <c r="Q28" s="238">
        <f t="shared" si="2"/>
        <v>0</v>
      </c>
      <c r="R28" s="238">
        <f t="shared" si="3"/>
        <v>0</v>
      </c>
    </row>
    <row r="29" spans="2:18" ht="18" customHeight="1">
      <c r="B29" s="231">
        <v>21</v>
      </c>
      <c r="C29" s="239"/>
      <c r="D29" s="233" t="s">
        <v>120</v>
      </c>
      <c r="E29" s="1681">
        <v>4355</v>
      </c>
      <c r="F29" s="237"/>
      <c r="G29" s="237"/>
      <c r="H29" s="237"/>
      <c r="I29" s="1012">
        <f t="shared" si="4"/>
        <v>0</v>
      </c>
      <c r="J29" s="1089"/>
      <c r="O29" s="238">
        <f t="shared" si="2"/>
        <v>0</v>
      </c>
      <c r="P29" s="238">
        <f t="shared" si="2"/>
        <v>0</v>
      </c>
      <c r="Q29" s="238">
        <f t="shared" si="2"/>
        <v>0</v>
      </c>
      <c r="R29" s="238">
        <f t="shared" si="3"/>
        <v>0</v>
      </c>
    </row>
    <row r="30" spans="2:18" ht="18" customHeight="1">
      <c r="B30" s="231">
        <v>22</v>
      </c>
      <c r="C30" s="239"/>
      <c r="D30" s="233" t="s">
        <v>121</v>
      </c>
      <c r="E30" s="1681">
        <v>4360</v>
      </c>
      <c r="F30" s="237"/>
      <c r="G30" s="237"/>
      <c r="H30" s="237"/>
      <c r="I30" s="1012">
        <f t="shared" si="4"/>
        <v>0</v>
      </c>
      <c r="J30" s="1089"/>
      <c r="O30" s="238">
        <f t="shared" si="2"/>
        <v>0</v>
      </c>
      <c r="P30" s="238">
        <f t="shared" si="2"/>
        <v>0</v>
      </c>
      <c r="Q30" s="238">
        <f t="shared" si="2"/>
        <v>0</v>
      </c>
      <c r="R30" s="238">
        <f t="shared" si="3"/>
        <v>0</v>
      </c>
    </row>
    <row r="31" spans="2:18" ht="18" customHeight="1">
      <c r="B31" s="231">
        <v>23</v>
      </c>
      <c r="C31" s="239"/>
      <c r="D31" s="240" t="s">
        <v>122</v>
      </c>
      <c r="E31" s="1681">
        <v>4375</v>
      </c>
      <c r="F31" s="237"/>
      <c r="G31" s="237"/>
      <c r="H31" s="237"/>
      <c r="I31" s="1012">
        <f t="shared" si="4"/>
        <v>0</v>
      </c>
      <c r="J31" s="1089"/>
      <c r="O31" s="238">
        <f t="shared" si="2"/>
        <v>0</v>
      </c>
      <c r="P31" s="238">
        <f t="shared" si="2"/>
        <v>0</v>
      </c>
      <c r="Q31" s="238">
        <f t="shared" si="2"/>
        <v>0</v>
      </c>
      <c r="R31" s="238">
        <f t="shared" si="3"/>
        <v>0</v>
      </c>
    </row>
    <row r="32" spans="2:18" ht="18" customHeight="1">
      <c r="B32" s="231">
        <v>24</v>
      </c>
      <c r="C32" s="239"/>
      <c r="D32" s="233" t="s">
        <v>123</v>
      </c>
      <c r="E32" s="1681">
        <v>4380</v>
      </c>
      <c r="F32" s="237"/>
      <c r="G32" s="237"/>
      <c r="H32" s="237"/>
      <c r="I32" s="1012">
        <f t="shared" si="4"/>
        <v>0</v>
      </c>
      <c r="J32" s="1089"/>
      <c r="O32" s="238">
        <f t="shared" si="2"/>
        <v>0</v>
      </c>
      <c r="P32" s="238">
        <f t="shared" si="2"/>
        <v>0</v>
      </c>
      <c r="Q32" s="238">
        <f t="shared" si="2"/>
        <v>0</v>
      </c>
      <c r="R32" s="238">
        <f t="shared" si="3"/>
        <v>0</v>
      </c>
    </row>
    <row r="33" spans="2:18" ht="18" customHeight="1">
      <c r="B33" s="231">
        <v>25</v>
      </c>
      <c r="C33" s="239" t="s">
        <v>124</v>
      </c>
      <c r="D33" s="243"/>
      <c r="E33" s="1683">
        <v>4200</v>
      </c>
      <c r="F33" s="241">
        <f>O33</f>
        <v>0</v>
      </c>
      <c r="G33" s="241">
        <f>P33</f>
        <v>0</v>
      </c>
      <c r="H33" s="241">
        <f>Q33</f>
        <v>0</v>
      </c>
      <c r="I33" s="1012">
        <f>R33</f>
        <v>0</v>
      </c>
      <c r="J33" s="1089"/>
      <c r="O33" s="238">
        <f>ROUND(SUM(O16:O32),0)</f>
        <v>0</v>
      </c>
      <c r="P33" s="238">
        <f>ROUND(SUM(P16:P32),0)</f>
        <v>0</v>
      </c>
      <c r="Q33" s="238">
        <f>ROUND(SUM(Q16:Q32),0)</f>
        <v>0</v>
      </c>
      <c r="R33" s="238">
        <f>ROUND(SUM(R16:R32),0)</f>
        <v>0</v>
      </c>
    </row>
    <row r="34" spans="2:10" ht="18" customHeight="1">
      <c r="B34" s="231">
        <v>26</v>
      </c>
      <c r="C34" s="232" t="s">
        <v>125</v>
      </c>
      <c r="D34" s="243"/>
      <c r="E34" s="1685"/>
      <c r="F34" s="242"/>
      <c r="G34" s="242"/>
      <c r="H34" s="242"/>
      <c r="I34" s="1013"/>
      <c r="J34" s="1090"/>
    </row>
    <row r="35" spans="2:18" ht="18" customHeight="1">
      <c r="B35" s="231">
        <v>27</v>
      </c>
      <c r="C35" s="239"/>
      <c r="D35" s="233" t="s">
        <v>126</v>
      </c>
      <c r="E35" s="1681">
        <v>4410</v>
      </c>
      <c r="F35" s="237"/>
      <c r="G35" s="237"/>
      <c r="H35" s="237"/>
      <c r="I35" s="1012">
        <f aca="true" t="shared" si="5" ref="I35:I42">+F35+H35-G35</f>
        <v>0</v>
      </c>
      <c r="J35" s="1089"/>
      <c r="O35" s="238">
        <f aca="true" t="shared" si="6" ref="O35:Q42">ROUND(F35,0)</f>
        <v>0</v>
      </c>
      <c r="P35" s="238">
        <f t="shared" si="6"/>
        <v>0</v>
      </c>
      <c r="Q35" s="238">
        <f t="shared" si="6"/>
        <v>0</v>
      </c>
      <c r="R35" s="238">
        <f aca="true" t="shared" si="7" ref="R35:R42">IF(ISTEXT(I35),0,ROUND(I35,0))</f>
        <v>0</v>
      </c>
    </row>
    <row r="36" spans="2:18" ht="18" customHeight="1">
      <c r="B36" s="231">
        <v>28</v>
      </c>
      <c r="C36" s="239"/>
      <c r="D36" s="233" t="s">
        <v>127</v>
      </c>
      <c r="E36" s="1681">
        <v>4420</v>
      </c>
      <c r="F36" s="237"/>
      <c r="G36" s="237"/>
      <c r="H36" s="237"/>
      <c r="I36" s="1012">
        <f t="shared" si="5"/>
        <v>0</v>
      </c>
      <c r="J36" s="1089"/>
      <c r="O36" s="238">
        <f t="shared" si="6"/>
        <v>0</v>
      </c>
      <c r="P36" s="238">
        <f t="shared" si="6"/>
        <v>0</v>
      </c>
      <c r="Q36" s="238">
        <f t="shared" si="6"/>
        <v>0</v>
      </c>
      <c r="R36" s="238">
        <f t="shared" si="7"/>
        <v>0</v>
      </c>
    </row>
    <row r="37" spans="2:18" ht="18" customHeight="1">
      <c r="B37" s="231">
        <v>29</v>
      </c>
      <c r="C37" s="239"/>
      <c r="D37" s="233" t="s">
        <v>128</v>
      </c>
      <c r="E37" s="1681">
        <v>4430</v>
      </c>
      <c r="F37" s="237"/>
      <c r="G37" s="237"/>
      <c r="H37" s="237"/>
      <c r="I37" s="1012">
        <f t="shared" si="5"/>
        <v>0</v>
      </c>
      <c r="J37" s="1089"/>
      <c r="O37" s="238">
        <f t="shared" si="6"/>
        <v>0</v>
      </c>
      <c r="P37" s="238">
        <f t="shared" si="6"/>
        <v>0</v>
      </c>
      <c r="Q37" s="238">
        <f t="shared" si="6"/>
        <v>0</v>
      </c>
      <c r="R37" s="238">
        <f t="shared" si="7"/>
        <v>0</v>
      </c>
    </row>
    <row r="38" spans="2:18" ht="18" customHeight="1">
      <c r="B38" s="231">
        <v>30</v>
      </c>
      <c r="C38" s="239"/>
      <c r="D38" s="233" t="s">
        <v>129</v>
      </c>
      <c r="E38" s="1681">
        <v>4440</v>
      </c>
      <c r="F38" s="237"/>
      <c r="G38" s="237"/>
      <c r="H38" s="237"/>
      <c r="I38" s="1012">
        <f t="shared" si="5"/>
        <v>0</v>
      </c>
      <c r="J38" s="1089"/>
      <c r="O38" s="238">
        <f t="shared" si="6"/>
        <v>0</v>
      </c>
      <c r="P38" s="238">
        <f t="shared" si="6"/>
        <v>0</v>
      </c>
      <c r="Q38" s="238">
        <f t="shared" si="6"/>
        <v>0</v>
      </c>
      <c r="R38" s="238">
        <f t="shared" si="7"/>
        <v>0</v>
      </c>
    </row>
    <row r="39" spans="2:18" ht="18" customHeight="1">
      <c r="B39" s="231">
        <v>31</v>
      </c>
      <c r="C39" s="239"/>
      <c r="D39" s="233" t="s">
        <v>130</v>
      </c>
      <c r="E39" s="1681">
        <v>4450</v>
      </c>
      <c r="F39" s="237"/>
      <c r="G39" s="237"/>
      <c r="H39" s="237"/>
      <c r="I39" s="1012">
        <f t="shared" si="5"/>
        <v>0</v>
      </c>
      <c r="J39" s="1089"/>
      <c r="O39" s="238">
        <f t="shared" si="6"/>
        <v>0</v>
      </c>
      <c r="P39" s="238">
        <f t="shared" si="6"/>
        <v>0</v>
      </c>
      <c r="Q39" s="238">
        <f t="shared" si="6"/>
        <v>0</v>
      </c>
      <c r="R39" s="238">
        <f t="shared" si="7"/>
        <v>0</v>
      </c>
    </row>
    <row r="40" spans="2:18" ht="18" customHeight="1">
      <c r="B40" s="231">
        <v>32</v>
      </c>
      <c r="C40" s="239"/>
      <c r="D40" s="233" t="s">
        <v>131</v>
      </c>
      <c r="E40" s="1681">
        <v>4460</v>
      </c>
      <c r="F40" s="237"/>
      <c r="G40" s="237"/>
      <c r="H40" s="237"/>
      <c r="I40" s="1012">
        <f t="shared" si="5"/>
        <v>0</v>
      </c>
      <c r="J40" s="1089"/>
      <c r="O40" s="238">
        <f t="shared" si="6"/>
        <v>0</v>
      </c>
      <c r="P40" s="238">
        <f t="shared" si="6"/>
        <v>0</v>
      </c>
      <c r="Q40" s="238">
        <f t="shared" si="6"/>
        <v>0</v>
      </c>
      <c r="R40" s="238">
        <f t="shared" si="7"/>
        <v>0</v>
      </c>
    </row>
    <row r="41" spans="2:18" ht="15.75">
      <c r="B41" s="231">
        <v>33</v>
      </c>
      <c r="C41" s="239"/>
      <c r="D41" s="233" t="s">
        <v>132</v>
      </c>
      <c r="E41" s="1681">
        <v>4470</v>
      </c>
      <c r="F41" s="237"/>
      <c r="G41" s="237"/>
      <c r="H41" s="237"/>
      <c r="I41" s="1012">
        <f t="shared" si="5"/>
        <v>0</v>
      </c>
      <c r="J41" s="1089"/>
      <c r="O41" s="238">
        <f t="shared" si="6"/>
        <v>0</v>
      </c>
      <c r="P41" s="238">
        <f t="shared" si="6"/>
        <v>0</v>
      </c>
      <c r="Q41" s="238">
        <f t="shared" si="6"/>
        <v>0</v>
      </c>
      <c r="R41" s="238">
        <f t="shared" si="7"/>
        <v>0</v>
      </c>
    </row>
    <row r="42" spans="2:18" ht="15.75">
      <c r="B42" s="231">
        <v>34</v>
      </c>
      <c r="C42" s="239"/>
      <c r="D42" s="240" t="s">
        <v>133</v>
      </c>
      <c r="E42" s="1681">
        <v>4490</v>
      </c>
      <c r="F42" s="237"/>
      <c r="G42" s="237"/>
      <c r="H42" s="237"/>
      <c r="I42" s="1012">
        <f t="shared" si="5"/>
        <v>0</v>
      </c>
      <c r="J42" s="1089"/>
      <c r="O42" s="238">
        <f t="shared" si="6"/>
        <v>0</v>
      </c>
      <c r="P42" s="238">
        <f t="shared" si="6"/>
        <v>0</v>
      </c>
      <c r="Q42" s="238">
        <f t="shared" si="6"/>
        <v>0</v>
      </c>
      <c r="R42" s="238">
        <f t="shared" si="7"/>
        <v>0</v>
      </c>
    </row>
    <row r="43" spans="2:18" ht="18" customHeight="1">
      <c r="B43" s="231">
        <v>35</v>
      </c>
      <c r="C43" s="239" t="s">
        <v>134</v>
      </c>
      <c r="D43" s="245"/>
      <c r="E43" s="1686">
        <v>4400</v>
      </c>
      <c r="F43" s="241">
        <f>SUM(F35:F42)</f>
        <v>0</v>
      </c>
      <c r="G43" s="241">
        <f>SUM(G35:G42)</f>
        <v>0</v>
      </c>
      <c r="H43" s="241">
        <f>SUM(H35:H42)</f>
        <v>0</v>
      </c>
      <c r="I43" s="1012">
        <f>SUM(I35:I42)</f>
        <v>0</v>
      </c>
      <c r="J43" s="1089"/>
      <c r="O43" s="238">
        <f>ROUND(SUM(O35:O42),0)</f>
        <v>0</v>
      </c>
      <c r="P43" s="238">
        <f>ROUND(SUM(P35:P42),0)</f>
        <v>0</v>
      </c>
      <c r="Q43" s="238">
        <f>ROUND(SUM(Q35:Q42),0)</f>
        <v>0</v>
      </c>
      <c r="R43" s="238">
        <f>ROUND(SUM(R35:R42),0)</f>
        <v>0</v>
      </c>
    </row>
    <row r="44" spans="2:10" ht="18" customHeight="1">
      <c r="B44" s="231">
        <v>36</v>
      </c>
      <c r="C44" s="232" t="s">
        <v>135</v>
      </c>
      <c r="D44" s="245"/>
      <c r="E44" s="1687"/>
      <c r="F44" s="242"/>
      <c r="G44" s="242"/>
      <c r="H44" s="242"/>
      <c r="I44" s="1013"/>
      <c r="J44" s="1090"/>
    </row>
    <row r="45" spans="2:18" ht="18" customHeight="1">
      <c r="B45" s="231">
        <v>37</v>
      </c>
      <c r="C45" s="239"/>
      <c r="D45" s="246" t="s">
        <v>136</v>
      </c>
      <c r="E45" s="1686">
        <v>4610</v>
      </c>
      <c r="F45" s="237"/>
      <c r="G45" s="237"/>
      <c r="H45" s="237"/>
      <c r="I45" s="1012">
        <f>+F45+H45-G45</f>
        <v>0</v>
      </c>
      <c r="J45" s="1089"/>
      <c r="O45" s="238">
        <f aca="true" t="shared" si="8" ref="O45:Q50">ROUND(F45,0)</f>
        <v>0</v>
      </c>
      <c r="P45" s="238">
        <f t="shared" si="8"/>
        <v>0</v>
      </c>
      <c r="Q45" s="238">
        <f t="shared" si="8"/>
        <v>0</v>
      </c>
      <c r="R45" s="238">
        <f aca="true" t="shared" si="9" ref="R45:R50">IF(ISTEXT(I45),0,ROUND(I45,0))</f>
        <v>0</v>
      </c>
    </row>
    <row r="46" spans="2:18" ht="18" customHeight="1">
      <c r="B46" s="231">
        <v>38</v>
      </c>
      <c r="C46" s="239"/>
      <c r="D46" s="246" t="s">
        <v>137</v>
      </c>
      <c r="E46" s="1686">
        <v>4620</v>
      </c>
      <c r="F46" s="237"/>
      <c r="G46" s="237"/>
      <c r="H46" s="237"/>
      <c r="I46" s="1012">
        <f>+F46+H46-G46</f>
        <v>0</v>
      </c>
      <c r="J46" s="1089"/>
      <c r="O46" s="238">
        <f t="shared" si="8"/>
        <v>0</v>
      </c>
      <c r="P46" s="238">
        <f t="shared" si="8"/>
        <v>0</v>
      </c>
      <c r="Q46" s="238">
        <f t="shared" si="8"/>
        <v>0</v>
      </c>
      <c r="R46" s="238">
        <f t="shared" si="9"/>
        <v>0</v>
      </c>
    </row>
    <row r="47" spans="2:18" ht="18" customHeight="1">
      <c r="B47" s="231">
        <v>39</v>
      </c>
      <c r="C47" s="239"/>
      <c r="D47" s="246" t="s">
        <v>138</v>
      </c>
      <c r="E47" s="1686">
        <v>4630</v>
      </c>
      <c r="F47" s="237"/>
      <c r="G47" s="237"/>
      <c r="H47" s="237"/>
      <c r="I47" s="1012">
        <f>+F47+H47-G47</f>
        <v>0</v>
      </c>
      <c r="J47" s="1089"/>
      <c r="O47" s="238">
        <f t="shared" si="8"/>
        <v>0</v>
      </c>
      <c r="P47" s="238">
        <f t="shared" si="8"/>
        <v>0</v>
      </c>
      <c r="Q47" s="238">
        <f t="shared" si="8"/>
        <v>0</v>
      </c>
      <c r="R47" s="238">
        <f t="shared" si="9"/>
        <v>0</v>
      </c>
    </row>
    <row r="48" spans="2:18" ht="27" customHeight="1">
      <c r="B48" s="231">
        <v>40</v>
      </c>
      <c r="C48" s="239"/>
      <c r="D48" s="247" t="s">
        <v>139</v>
      </c>
      <c r="E48" s="1688">
        <v>4690</v>
      </c>
      <c r="F48" s="248"/>
      <c r="G48" s="248"/>
      <c r="H48" s="248"/>
      <c r="I48" s="1014">
        <f>+F48+H48-G48</f>
        <v>0</v>
      </c>
      <c r="J48" s="1091"/>
      <c r="O48" s="238">
        <f t="shared" si="8"/>
        <v>0</v>
      </c>
      <c r="P48" s="238">
        <f t="shared" si="8"/>
        <v>0</v>
      </c>
      <c r="Q48" s="238">
        <f t="shared" si="8"/>
        <v>0</v>
      </c>
      <c r="R48" s="238">
        <f t="shared" si="9"/>
        <v>0</v>
      </c>
    </row>
    <row r="49" spans="2:18" ht="18" customHeight="1">
      <c r="B49" s="231">
        <v>41</v>
      </c>
      <c r="C49" s="239" t="s">
        <v>140</v>
      </c>
      <c r="D49" s="246"/>
      <c r="E49" s="1686">
        <v>4600</v>
      </c>
      <c r="F49" s="241">
        <f>SUM(F45:F48)</f>
        <v>0</v>
      </c>
      <c r="G49" s="241">
        <f>SUM(G45:G48)</f>
        <v>0</v>
      </c>
      <c r="H49" s="241">
        <f>SUM(H45:H48)</f>
        <v>0</v>
      </c>
      <c r="I49" s="1012">
        <f>SUM(I45:I48)</f>
        <v>0</v>
      </c>
      <c r="J49" s="1089"/>
      <c r="O49" s="238">
        <f t="shared" si="8"/>
        <v>0</v>
      </c>
      <c r="P49" s="238">
        <f t="shared" si="8"/>
        <v>0</v>
      </c>
      <c r="Q49" s="238">
        <f t="shared" si="8"/>
        <v>0</v>
      </c>
      <c r="R49" s="238">
        <f t="shared" si="9"/>
        <v>0</v>
      </c>
    </row>
    <row r="50" spans="2:18" ht="18" customHeight="1">
      <c r="B50" s="231">
        <v>42</v>
      </c>
      <c r="C50" s="249" t="s">
        <v>141</v>
      </c>
      <c r="D50" s="246"/>
      <c r="E50" s="1683">
        <v>4500</v>
      </c>
      <c r="F50" s="237"/>
      <c r="G50" s="237"/>
      <c r="H50" s="237"/>
      <c r="I50" s="1012">
        <f>+F50+H50-G50</f>
        <v>0</v>
      </c>
      <c r="J50" s="1089"/>
      <c r="O50" s="238">
        <f t="shared" si="8"/>
        <v>0</v>
      </c>
      <c r="P50" s="238">
        <f t="shared" si="8"/>
        <v>0</v>
      </c>
      <c r="Q50" s="238">
        <f t="shared" si="8"/>
        <v>0</v>
      </c>
      <c r="R50" s="238">
        <f t="shared" si="9"/>
        <v>0</v>
      </c>
    </row>
    <row r="51" spans="2:18" ht="15.75" customHeight="1" thickBot="1">
      <c r="B51" s="1327">
        <v>43</v>
      </c>
      <c r="C51" s="1602" t="s">
        <v>142</v>
      </c>
      <c r="D51" s="1599"/>
      <c r="E51" s="1689"/>
      <c r="F51" s="1595">
        <f>O51</f>
        <v>0</v>
      </c>
      <c r="G51" s="1595">
        <f>P51</f>
        <v>0</v>
      </c>
      <c r="H51" s="1595">
        <f>Q51</f>
        <v>0</v>
      </c>
      <c r="I51" s="1600">
        <f>R51</f>
        <v>0</v>
      </c>
      <c r="J51" s="1601"/>
      <c r="O51" s="251">
        <f>ROUND(SUM(+O14+O33+O43+O49+O50),0)</f>
        <v>0</v>
      </c>
      <c r="P51" s="251">
        <f>ROUND(SUM(+P14+P33+P43+P49+P50),0)</f>
        <v>0</v>
      </c>
      <c r="Q51" s="251">
        <f>ROUND(SUM(+Q14+Q33+Q43+Q49+Q50),0)</f>
        <v>0</v>
      </c>
      <c r="R51" s="251">
        <f>ROUND(SUM(+R14+R33+R43+R49+R50),0)</f>
        <v>0</v>
      </c>
    </row>
    <row r="52" spans="2:18" s="252" customFormat="1" ht="11.25">
      <c r="B52" s="1554"/>
      <c r="C52" s="357"/>
      <c r="D52" s="357"/>
      <c r="E52" s="1690"/>
      <c r="F52" s="360"/>
      <c r="G52" s="360"/>
      <c r="H52" s="360"/>
      <c r="I52" s="1555"/>
      <c r="J52" s="1556"/>
      <c r="K52" s="1211"/>
      <c r="O52" s="253"/>
      <c r="P52" s="253"/>
      <c r="Q52" s="253"/>
      <c r="R52" s="253"/>
    </row>
    <row r="53" spans="1:18" s="254" customFormat="1" ht="19.5" customHeight="1">
      <c r="A53" s="205"/>
      <c r="B53" s="205"/>
      <c r="C53" s="206" t="s">
        <v>265</v>
      </c>
      <c r="D53" s="922">
        <f>+$D$1</f>
        <v>0</v>
      </c>
      <c r="E53" s="1691"/>
      <c r="F53" s="205"/>
      <c r="G53" s="205"/>
      <c r="H53" s="205"/>
      <c r="I53" s="205"/>
      <c r="J53" s="390"/>
      <c r="K53" s="1208"/>
      <c r="L53" s="205"/>
      <c r="O53" s="255"/>
      <c r="P53" s="255"/>
      <c r="Q53" s="255"/>
      <c r="R53" s="255"/>
    </row>
    <row r="54" spans="1:18" s="254" customFormat="1" ht="19.5" customHeight="1">
      <c r="A54" s="205"/>
      <c r="B54" s="205"/>
      <c r="C54" s="206" t="s">
        <v>266</v>
      </c>
      <c r="D54" s="207">
        <f>+$D$2</f>
        <v>0</v>
      </c>
      <c r="E54" s="1691" t="str">
        <f>Schedule_A!A3</f>
        <v>NURSING FACILITY 2019 COST REPORT</v>
      </c>
      <c r="F54" s="205"/>
      <c r="G54" s="205"/>
      <c r="H54" s="205"/>
      <c r="I54" s="205"/>
      <c r="J54" s="390"/>
      <c r="K54" s="1208"/>
      <c r="L54" s="205"/>
      <c r="O54" s="255"/>
      <c r="P54" s="255"/>
      <c r="Q54" s="255"/>
      <c r="R54" s="255"/>
    </row>
    <row r="55" spans="1:18" s="254" customFormat="1" ht="15.75">
      <c r="A55" s="205"/>
      <c r="B55" s="205"/>
      <c r="C55" s="206"/>
      <c r="D55" s="210"/>
      <c r="E55" s="1691"/>
      <c r="F55" s="205"/>
      <c r="G55" s="205"/>
      <c r="H55" s="205"/>
      <c r="I55" s="205"/>
      <c r="J55" s="390"/>
      <c r="K55" s="1208"/>
      <c r="L55" s="205"/>
      <c r="O55" s="255"/>
      <c r="P55" s="255"/>
      <c r="Q55" s="255"/>
      <c r="R55" s="255"/>
    </row>
    <row r="56" spans="1:18" s="254" customFormat="1" ht="18">
      <c r="A56" s="211" t="s">
        <v>198</v>
      </c>
      <c r="B56" s="212"/>
      <c r="C56" s="212"/>
      <c r="D56" s="212"/>
      <c r="E56" s="1692"/>
      <c r="F56" s="212"/>
      <c r="G56" s="212"/>
      <c r="H56" s="212"/>
      <c r="I56" s="212"/>
      <c r="J56" s="401"/>
      <c r="K56" s="1208"/>
      <c r="L56" s="212"/>
      <c r="O56" s="255"/>
      <c r="P56" s="255"/>
      <c r="Q56" s="255"/>
      <c r="R56" s="255"/>
    </row>
    <row r="57" spans="1:18" s="254" customFormat="1" ht="24" thickBot="1">
      <c r="A57" s="1548" t="s">
        <v>143</v>
      </c>
      <c r="B57" s="213"/>
      <c r="C57" s="213"/>
      <c r="D57" s="213"/>
      <c r="E57" s="1693"/>
      <c r="F57" s="213"/>
      <c r="G57" s="213"/>
      <c r="H57" s="213"/>
      <c r="I57" s="213"/>
      <c r="J57" s="1084"/>
      <c r="K57" s="1209"/>
      <c r="L57" s="213"/>
      <c r="O57" s="255"/>
      <c r="P57" s="255"/>
      <c r="Q57" s="255"/>
      <c r="R57" s="255"/>
    </row>
    <row r="58" spans="1:18" s="254" customFormat="1" ht="67.5" customHeight="1">
      <c r="A58" s="213"/>
      <c r="B58" s="256" t="s">
        <v>200</v>
      </c>
      <c r="C58" s="215"/>
      <c r="D58" s="216"/>
      <c r="E58" s="1677" t="s">
        <v>464</v>
      </c>
      <c r="F58" s="217" t="s">
        <v>193</v>
      </c>
      <c r="G58" s="218" t="s">
        <v>468</v>
      </c>
      <c r="H58" s="219"/>
      <c r="I58" s="257" t="s">
        <v>201</v>
      </c>
      <c r="J58" s="1092"/>
      <c r="K58" s="1085" t="s">
        <v>202</v>
      </c>
      <c r="L58" s="258"/>
      <c r="O58" s="255"/>
      <c r="P58" s="255"/>
      <c r="Q58" s="255"/>
      <c r="R58" s="255"/>
    </row>
    <row r="59" spans="1:18" s="254" customFormat="1" ht="18" customHeight="1">
      <c r="A59" s="213"/>
      <c r="B59" s="221" t="s">
        <v>203</v>
      </c>
      <c r="C59" s="222" t="s">
        <v>464</v>
      </c>
      <c r="D59" s="223"/>
      <c r="E59" s="1694" t="s">
        <v>204</v>
      </c>
      <c r="F59" s="259" t="s">
        <v>205</v>
      </c>
      <c r="G59" s="259" t="s">
        <v>471</v>
      </c>
      <c r="H59" s="259" t="s">
        <v>472</v>
      </c>
      <c r="I59" s="260" t="s">
        <v>193</v>
      </c>
      <c r="J59" s="1093" t="s">
        <v>144</v>
      </c>
      <c r="K59" s="260"/>
      <c r="L59" s="261"/>
      <c r="O59" s="255"/>
      <c r="P59" s="255"/>
      <c r="Q59" s="255"/>
      <c r="R59" s="255"/>
    </row>
    <row r="60" spans="1:18" s="254" customFormat="1" ht="18.75">
      <c r="A60" s="213"/>
      <c r="B60" s="226"/>
      <c r="C60" s="264" t="s">
        <v>719</v>
      </c>
      <c r="D60" s="228"/>
      <c r="E60" s="1679" t="s">
        <v>473</v>
      </c>
      <c r="F60" s="229" t="s">
        <v>474</v>
      </c>
      <c r="G60" s="229" t="s">
        <v>475</v>
      </c>
      <c r="H60" s="229" t="s">
        <v>476</v>
      </c>
      <c r="I60" s="229" t="s">
        <v>477</v>
      </c>
      <c r="J60" s="1094" t="s">
        <v>478</v>
      </c>
      <c r="K60" s="262" t="s">
        <v>479</v>
      </c>
      <c r="L60" s="263"/>
      <c r="O60" s="255"/>
      <c r="P60" s="255"/>
      <c r="Q60" s="255"/>
      <c r="R60" s="255"/>
    </row>
    <row r="61" spans="2:12" ht="21" customHeight="1">
      <c r="B61" s="231">
        <v>44</v>
      </c>
      <c r="C61" s="264" t="s">
        <v>145</v>
      </c>
      <c r="D61" s="265"/>
      <c r="E61" s="1682"/>
      <c r="F61" s="266"/>
      <c r="G61" s="266"/>
      <c r="H61" s="266"/>
      <c r="I61" s="266"/>
      <c r="J61" s="1095"/>
      <c r="K61" s="1212"/>
      <c r="L61" s="267"/>
    </row>
    <row r="62" spans="2:21" ht="19.5" customHeight="1">
      <c r="B62" s="231">
        <v>45</v>
      </c>
      <c r="C62" s="268"/>
      <c r="D62" s="265" t="s">
        <v>146</v>
      </c>
      <c r="E62" s="1681">
        <v>5111.01</v>
      </c>
      <c r="F62" s="269"/>
      <c r="G62" s="269"/>
      <c r="H62" s="269"/>
      <c r="I62" s="270">
        <f aca="true" t="shared" si="10" ref="I62:I75">+F62+G62-H62</f>
        <v>0</v>
      </c>
      <c r="J62" s="271"/>
      <c r="K62" s="1213"/>
      <c r="L62" s="272"/>
      <c r="O62" s="238">
        <f aca="true" t="shared" si="11" ref="O62:R75">ROUND(F62,0)</f>
        <v>0</v>
      </c>
      <c r="P62" s="238">
        <f t="shared" si="11"/>
        <v>0</v>
      </c>
      <c r="Q62" s="238">
        <f t="shared" si="11"/>
        <v>0</v>
      </c>
      <c r="R62" s="238">
        <f t="shared" si="11"/>
        <v>0</v>
      </c>
      <c r="S62" s="273">
        <f aca="true" t="shared" si="12" ref="S62:S75">IF(ISTEXT(J62),0,ROUND(J62,0))</f>
        <v>0</v>
      </c>
      <c r="T62" s="273"/>
      <c r="U62" s="273"/>
    </row>
    <row r="63" spans="2:19" ht="19.5" customHeight="1">
      <c r="B63" s="231">
        <v>46</v>
      </c>
      <c r="C63" s="239"/>
      <c r="D63" s="233" t="s">
        <v>147</v>
      </c>
      <c r="E63" s="1681">
        <v>5111.02</v>
      </c>
      <c r="F63" s="237"/>
      <c r="G63" s="237"/>
      <c r="H63" s="237"/>
      <c r="I63" s="270">
        <f t="shared" si="10"/>
        <v>0</v>
      </c>
      <c r="J63" s="271"/>
      <c r="K63" s="1213"/>
      <c r="L63" s="272"/>
      <c r="O63" s="238">
        <f t="shared" si="11"/>
        <v>0</v>
      </c>
      <c r="P63" s="238">
        <f t="shared" si="11"/>
        <v>0</v>
      </c>
      <c r="Q63" s="238">
        <f t="shared" si="11"/>
        <v>0</v>
      </c>
      <c r="R63" s="238">
        <f t="shared" si="11"/>
        <v>0</v>
      </c>
      <c r="S63" s="273">
        <f t="shared" si="12"/>
        <v>0</v>
      </c>
    </row>
    <row r="64" spans="2:19" ht="19.5" customHeight="1">
      <c r="B64" s="231">
        <v>47</v>
      </c>
      <c r="C64" s="268"/>
      <c r="D64" s="274" t="s">
        <v>148</v>
      </c>
      <c r="E64" s="1683">
        <v>5111.03</v>
      </c>
      <c r="F64" s="269"/>
      <c r="G64" s="269"/>
      <c r="H64" s="269"/>
      <c r="I64" s="270">
        <f t="shared" si="10"/>
        <v>0</v>
      </c>
      <c r="J64" s="271"/>
      <c r="K64" s="1213"/>
      <c r="L64" s="272"/>
      <c r="O64" s="238">
        <f t="shared" si="11"/>
        <v>0</v>
      </c>
      <c r="P64" s="238">
        <f t="shared" si="11"/>
        <v>0</v>
      </c>
      <c r="Q64" s="238">
        <f t="shared" si="11"/>
        <v>0</v>
      </c>
      <c r="R64" s="238">
        <f t="shared" si="11"/>
        <v>0</v>
      </c>
      <c r="S64" s="273">
        <f t="shared" si="12"/>
        <v>0</v>
      </c>
    </row>
    <row r="65" spans="2:19" s="254" customFormat="1" ht="19.5" customHeight="1">
      <c r="B65" s="231">
        <v>48</v>
      </c>
      <c r="C65" s="275"/>
      <c r="D65" s="1333" t="s">
        <v>621</v>
      </c>
      <c r="E65" s="1695">
        <v>5111.04</v>
      </c>
      <c r="F65" s="276"/>
      <c r="G65" s="276"/>
      <c r="H65" s="276"/>
      <c r="I65" s="270">
        <f t="shared" si="10"/>
        <v>0</v>
      </c>
      <c r="J65" s="277"/>
      <c r="K65" s="1214"/>
      <c r="L65" s="272"/>
      <c r="O65" s="238">
        <f t="shared" si="11"/>
        <v>0</v>
      </c>
      <c r="P65" s="238">
        <f t="shared" si="11"/>
        <v>0</v>
      </c>
      <c r="Q65" s="238">
        <f t="shared" si="11"/>
        <v>0</v>
      </c>
      <c r="R65" s="238">
        <f t="shared" si="11"/>
        <v>0</v>
      </c>
      <c r="S65" s="273">
        <f t="shared" si="12"/>
        <v>0</v>
      </c>
    </row>
    <row r="66" spans="2:19" s="254" customFormat="1" ht="36" customHeight="1">
      <c r="B66" s="231">
        <v>49</v>
      </c>
      <c r="C66" s="275"/>
      <c r="D66" s="1333" t="s">
        <v>631</v>
      </c>
      <c r="E66" s="1695">
        <v>5111.05</v>
      </c>
      <c r="F66" s="276"/>
      <c r="G66" s="276"/>
      <c r="H66" s="276"/>
      <c r="I66" s="270">
        <f t="shared" si="10"/>
        <v>0</v>
      </c>
      <c r="J66" s="277"/>
      <c r="K66" s="1214"/>
      <c r="L66" s="272"/>
      <c r="O66" s="238">
        <f>ROUND(F66,0)</f>
        <v>0</v>
      </c>
      <c r="P66" s="238">
        <f>ROUND(G66,0)</f>
        <v>0</v>
      </c>
      <c r="Q66" s="238">
        <f>ROUND(H66,0)</f>
        <v>0</v>
      </c>
      <c r="R66" s="238">
        <f>ROUND(I66,0)</f>
        <v>0</v>
      </c>
      <c r="S66" s="273">
        <f>IF(ISTEXT(J66),0,ROUND(J66,0))</f>
        <v>0</v>
      </c>
    </row>
    <row r="67" spans="2:19" s="254" customFormat="1" ht="15.75">
      <c r="B67" s="231">
        <v>50</v>
      </c>
      <c r="C67" s="281" t="s">
        <v>626</v>
      </c>
      <c r="D67" s="1334"/>
      <c r="E67" s="1695"/>
      <c r="F67" s="1335">
        <f>SUM(F62:F66)</f>
        <v>0</v>
      </c>
      <c r="G67" s="1335">
        <f>SUM(G62:G66)</f>
        <v>0</v>
      </c>
      <c r="H67" s="1335">
        <f>SUM(H62:H66)</f>
        <v>0</v>
      </c>
      <c r="I67" s="1336">
        <f t="shared" si="10"/>
        <v>0</v>
      </c>
      <c r="J67" s="1337">
        <f>SUM(J62:J66)</f>
        <v>0</v>
      </c>
      <c r="K67" s="1214"/>
      <c r="L67" s="272"/>
      <c r="O67" s="238"/>
      <c r="P67" s="238"/>
      <c r="Q67" s="238"/>
      <c r="R67" s="238"/>
      <c r="S67" s="273"/>
    </row>
    <row r="68" spans="2:19" s="254" customFormat="1" ht="15.75">
      <c r="B68" s="231">
        <v>51</v>
      </c>
      <c r="C68" s="281" t="s">
        <v>622</v>
      </c>
      <c r="D68" s="1334"/>
      <c r="E68" s="1674"/>
      <c r="F68" s="1346"/>
      <c r="G68" s="1346"/>
      <c r="H68" s="1346"/>
      <c r="I68" s="1347"/>
      <c r="J68" s="1348"/>
      <c r="K68" s="1349"/>
      <c r="L68" s="272"/>
      <c r="O68" s="238"/>
      <c r="P68" s="238"/>
      <c r="Q68" s="238"/>
      <c r="R68" s="238"/>
      <c r="S68" s="273"/>
    </row>
    <row r="69" spans="2:19" ht="19.5" customHeight="1">
      <c r="B69" s="231">
        <v>52</v>
      </c>
      <c r="C69" s="275"/>
      <c r="D69" s="265" t="s">
        <v>149</v>
      </c>
      <c r="E69" s="1696">
        <v>5111.09</v>
      </c>
      <c r="F69" s="278"/>
      <c r="G69" s="278"/>
      <c r="H69" s="278"/>
      <c r="I69" s="270">
        <f t="shared" si="10"/>
        <v>0</v>
      </c>
      <c r="J69" s="279"/>
      <c r="K69" s="1215"/>
      <c r="L69" s="272"/>
      <c r="O69" s="238">
        <f t="shared" si="11"/>
        <v>0</v>
      </c>
      <c r="P69" s="238">
        <f t="shared" si="11"/>
        <v>0</v>
      </c>
      <c r="Q69" s="238">
        <f t="shared" si="11"/>
        <v>0</v>
      </c>
      <c r="R69" s="238">
        <f t="shared" si="11"/>
        <v>0</v>
      </c>
      <c r="S69" s="273">
        <f t="shared" si="12"/>
        <v>0</v>
      </c>
    </row>
    <row r="70" spans="2:19" ht="19.5" customHeight="1">
      <c r="B70" s="231">
        <v>53</v>
      </c>
      <c r="C70" s="268"/>
      <c r="D70" s="265" t="s">
        <v>150</v>
      </c>
      <c r="E70" s="1681">
        <v>5111.11</v>
      </c>
      <c r="F70" s="269"/>
      <c r="G70" s="269"/>
      <c r="H70" s="269"/>
      <c r="I70" s="270">
        <f t="shared" si="10"/>
        <v>0</v>
      </c>
      <c r="J70" s="918"/>
      <c r="K70" s="1216"/>
      <c r="L70" s="272"/>
      <c r="O70" s="238">
        <f t="shared" si="11"/>
        <v>0</v>
      </c>
      <c r="P70" s="238">
        <f t="shared" si="11"/>
        <v>0</v>
      </c>
      <c r="Q70" s="238">
        <f t="shared" si="11"/>
        <v>0</v>
      </c>
      <c r="R70" s="238">
        <f t="shared" si="11"/>
        <v>0</v>
      </c>
      <c r="S70" s="273">
        <f t="shared" si="12"/>
        <v>0</v>
      </c>
    </row>
    <row r="71" spans="2:19" ht="19.5" customHeight="1">
      <c r="B71" s="231">
        <v>54</v>
      </c>
      <c r="C71" s="268"/>
      <c r="D71" s="265" t="s">
        <v>151</v>
      </c>
      <c r="E71" s="1681">
        <v>5111.12</v>
      </c>
      <c r="F71" s="269"/>
      <c r="G71" s="269"/>
      <c r="H71" s="269"/>
      <c r="I71" s="270">
        <f t="shared" si="10"/>
        <v>0</v>
      </c>
      <c r="J71" s="918"/>
      <c r="K71" s="1216"/>
      <c r="L71" s="272"/>
      <c r="O71" s="238">
        <f t="shared" si="11"/>
        <v>0</v>
      </c>
      <c r="P71" s="238">
        <f t="shared" si="11"/>
        <v>0</v>
      </c>
      <c r="Q71" s="238">
        <f t="shared" si="11"/>
        <v>0</v>
      </c>
      <c r="R71" s="238">
        <f t="shared" si="11"/>
        <v>0</v>
      </c>
      <c r="S71" s="273">
        <f t="shared" si="12"/>
        <v>0</v>
      </c>
    </row>
    <row r="72" spans="2:19" ht="19.5" customHeight="1">
      <c r="B72" s="231">
        <v>55</v>
      </c>
      <c r="C72" s="268"/>
      <c r="D72" s="265" t="s">
        <v>152</v>
      </c>
      <c r="E72" s="1681">
        <v>5111.13</v>
      </c>
      <c r="F72" s="269"/>
      <c r="G72" s="269"/>
      <c r="H72" s="269"/>
      <c r="I72" s="270">
        <f t="shared" si="10"/>
        <v>0</v>
      </c>
      <c r="J72" s="271"/>
      <c r="K72" s="1213"/>
      <c r="L72" s="272"/>
      <c r="O72" s="238">
        <f t="shared" si="11"/>
        <v>0</v>
      </c>
      <c r="P72" s="238">
        <f t="shared" si="11"/>
        <v>0</v>
      </c>
      <c r="Q72" s="238">
        <f t="shared" si="11"/>
        <v>0</v>
      </c>
      <c r="R72" s="238">
        <f t="shared" si="11"/>
        <v>0</v>
      </c>
      <c r="S72" s="273">
        <f t="shared" si="12"/>
        <v>0</v>
      </c>
    </row>
    <row r="73" spans="2:19" ht="19.5" customHeight="1">
      <c r="B73" s="231">
        <v>56</v>
      </c>
      <c r="C73" s="268"/>
      <c r="D73" s="265" t="s">
        <v>153</v>
      </c>
      <c r="E73" s="1681">
        <v>5111.14</v>
      </c>
      <c r="F73" s="269"/>
      <c r="G73" s="269"/>
      <c r="H73" s="269"/>
      <c r="I73" s="270">
        <f t="shared" si="10"/>
        <v>0</v>
      </c>
      <c r="J73" s="271"/>
      <c r="K73" s="1213"/>
      <c r="L73" s="272"/>
      <c r="O73" s="238">
        <f t="shared" si="11"/>
        <v>0</v>
      </c>
      <c r="P73" s="238">
        <f t="shared" si="11"/>
        <v>0</v>
      </c>
      <c r="Q73" s="238">
        <f t="shared" si="11"/>
        <v>0</v>
      </c>
      <c r="R73" s="238">
        <f t="shared" si="11"/>
        <v>0</v>
      </c>
      <c r="S73" s="273">
        <f t="shared" si="12"/>
        <v>0</v>
      </c>
    </row>
    <row r="74" spans="2:19" ht="19.5" customHeight="1">
      <c r="B74" s="231">
        <v>57</v>
      </c>
      <c r="C74" s="268"/>
      <c r="D74" s="265" t="s">
        <v>601</v>
      </c>
      <c r="E74" s="1697">
        <v>5111.25</v>
      </c>
      <c r="F74" s="269"/>
      <c r="G74" s="269"/>
      <c r="H74" s="269"/>
      <c r="I74" s="270">
        <f t="shared" si="10"/>
        <v>0</v>
      </c>
      <c r="J74" s="271"/>
      <c r="K74" s="1213"/>
      <c r="L74" s="272"/>
      <c r="O74" s="238">
        <f>ROUND(F74,0)</f>
        <v>0</v>
      </c>
      <c r="P74" s="238">
        <f>ROUND(G74,0)</f>
        <v>0</v>
      </c>
      <c r="Q74" s="238">
        <f>ROUND(H74,0)</f>
        <v>0</v>
      </c>
      <c r="R74" s="238">
        <f>ROUND(I74,0)</f>
        <v>0</v>
      </c>
      <c r="S74" s="273">
        <f>IF(ISTEXT(J74),0,ROUND(J74,0))</f>
        <v>0</v>
      </c>
    </row>
    <row r="75" spans="2:19" ht="19.5" customHeight="1">
      <c r="B75" s="231">
        <v>58</v>
      </c>
      <c r="C75" s="268"/>
      <c r="D75" s="280" t="s">
        <v>306</v>
      </c>
      <c r="E75" s="1681">
        <v>5111.19</v>
      </c>
      <c r="F75" s="269"/>
      <c r="G75" s="269"/>
      <c r="H75" s="269"/>
      <c r="I75" s="270">
        <f t="shared" si="10"/>
        <v>0</v>
      </c>
      <c r="J75" s="271"/>
      <c r="K75" s="1213"/>
      <c r="L75" s="272"/>
      <c r="O75" s="238">
        <f t="shared" si="11"/>
        <v>0</v>
      </c>
      <c r="P75" s="238">
        <f t="shared" si="11"/>
        <v>0</v>
      </c>
      <c r="Q75" s="238">
        <f t="shared" si="11"/>
        <v>0</v>
      </c>
      <c r="R75" s="238">
        <f t="shared" si="11"/>
        <v>0</v>
      </c>
      <c r="S75" s="273">
        <f t="shared" si="12"/>
        <v>0</v>
      </c>
    </row>
    <row r="76" spans="2:19" ht="19.5" customHeight="1">
      <c r="B76" s="231">
        <v>59</v>
      </c>
      <c r="C76" s="281" t="s">
        <v>307</v>
      </c>
      <c r="D76" s="265"/>
      <c r="E76" s="1681"/>
      <c r="F76" s="270">
        <f>O76</f>
        <v>0</v>
      </c>
      <c r="G76" s="270">
        <f>P76</f>
        <v>0</v>
      </c>
      <c r="H76" s="270">
        <f>Q76</f>
        <v>0</v>
      </c>
      <c r="I76" s="270">
        <f>R76</f>
        <v>0</v>
      </c>
      <c r="J76" s="270">
        <f>S76</f>
        <v>0</v>
      </c>
      <c r="K76" s="1217"/>
      <c r="L76" s="282"/>
      <c r="O76" s="1342">
        <f>ROUND(SUM(O62:O75),0)</f>
        <v>0</v>
      </c>
      <c r="P76" s="1342">
        <f>ROUND(SUM(P62:P75),0)</f>
        <v>0</v>
      </c>
      <c r="Q76" s="1342">
        <f>ROUND(SUM(Q62:Q75),0)</f>
        <v>0</v>
      </c>
      <c r="R76" s="1342">
        <f>ROUND(SUM(R62:R75),0)</f>
        <v>0</v>
      </c>
      <c r="S76" s="1342">
        <f>ROUND(SUM(S62:S75),0)</f>
        <v>0</v>
      </c>
    </row>
    <row r="77" spans="2:19" ht="19.5" customHeight="1">
      <c r="B77" s="231">
        <v>60</v>
      </c>
      <c r="C77" s="207" t="s">
        <v>319</v>
      </c>
      <c r="D77" s="207"/>
      <c r="E77" s="1681">
        <v>5117</v>
      </c>
      <c r="F77" s="269"/>
      <c r="G77" s="269"/>
      <c r="H77" s="269"/>
      <c r="I77" s="270">
        <f>+F77+G77-H77</f>
        <v>0</v>
      </c>
      <c r="J77" s="1159"/>
      <c r="K77" s="1213"/>
      <c r="L77" s="272"/>
      <c r="O77" s="1343">
        <f>ROUND(F77,0)</f>
        <v>0</v>
      </c>
      <c r="P77" s="1343">
        <f>ROUND(G77,0)</f>
        <v>0</v>
      </c>
      <c r="Q77" s="1343">
        <f>ROUND(H77,0)</f>
        <v>0</v>
      </c>
      <c r="R77" s="1343">
        <f>ROUND(I77,0)</f>
        <v>0</v>
      </c>
      <c r="S77" s="1343"/>
    </row>
    <row r="78" spans="2:19" ht="19.5" customHeight="1">
      <c r="B78" s="231">
        <v>61</v>
      </c>
      <c r="C78" s="268" t="s">
        <v>309</v>
      </c>
      <c r="D78" s="265"/>
      <c r="E78" s="1681">
        <v>5116</v>
      </c>
      <c r="F78" s="269"/>
      <c r="G78" s="269"/>
      <c r="H78" s="269"/>
      <c r="I78" s="270">
        <f>+F78+G78-H78</f>
        <v>0</v>
      </c>
      <c r="J78" s="1147"/>
      <c r="K78" s="1213"/>
      <c r="L78" s="282"/>
      <c r="O78" s="1343">
        <f aca="true" t="shared" si="13" ref="O78:R79">ROUND(F78,0)</f>
        <v>0</v>
      </c>
      <c r="P78" s="1343">
        <f t="shared" si="13"/>
        <v>0</v>
      </c>
      <c r="Q78" s="1343">
        <f t="shared" si="13"/>
        <v>0</v>
      </c>
      <c r="R78" s="1343">
        <f t="shared" si="13"/>
        <v>0</v>
      </c>
      <c r="S78" s="1344"/>
    </row>
    <row r="79" spans="2:19" ht="19.5" customHeight="1">
      <c r="B79" s="231">
        <v>62</v>
      </c>
      <c r="C79" s="281" t="s">
        <v>750</v>
      </c>
      <c r="D79" s="265"/>
      <c r="E79" s="1681">
        <v>5118</v>
      </c>
      <c r="F79" s="269"/>
      <c r="G79" s="269"/>
      <c r="H79" s="269"/>
      <c r="I79" s="270">
        <f>+F79+G79-H79</f>
        <v>0</v>
      </c>
      <c r="J79" s="1147"/>
      <c r="K79" s="1213"/>
      <c r="L79" s="282"/>
      <c r="O79" s="1343">
        <f t="shared" si="13"/>
        <v>0</v>
      </c>
      <c r="P79" s="1343">
        <f t="shared" si="13"/>
        <v>0</v>
      </c>
      <c r="Q79" s="1343">
        <f t="shared" si="13"/>
        <v>0</v>
      </c>
      <c r="R79" s="1343">
        <f t="shared" si="13"/>
        <v>0</v>
      </c>
      <c r="S79" s="1344"/>
    </row>
    <row r="80" spans="2:12" ht="19.5" customHeight="1">
      <c r="B80" s="231">
        <v>63</v>
      </c>
      <c r="C80" s="264" t="s">
        <v>310</v>
      </c>
      <c r="D80" s="265"/>
      <c r="E80" s="1682"/>
      <c r="F80" s="266"/>
      <c r="G80" s="266"/>
      <c r="H80" s="266"/>
      <c r="I80" s="266"/>
      <c r="J80" s="1147"/>
      <c r="K80" s="1213"/>
      <c r="L80" s="282"/>
    </row>
    <row r="81" spans="2:19" ht="19.5" customHeight="1">
      <c r="B81" s="231">
        <v>64</v>
      </c>
      <c r="C81" s="268"/>
      <c r="D81" s="265" t="s">
        <v>146</v>
      </c>
      <c r="E81" s="1696">
        <v>5114.01</v>
      </c>
      <c r="F81" s="278"/>
      <c r="G81" s="278"/>
      <c r="H81" s="278"/>
      <c r="I81" s="270">
        <f aca="true" t="shared" si="14" ref="I81:I92">+F81+G81-H81</f>
        <v>0</v>
      </c>
      <c r="J81" s="918"/>
      <c r="K81" s="1216"/>
      <c r="L81" s="272"/>
      <c r="O81" s="238">
        <f aca="true" t="shared" si="15" ref="O81:R92">ROUND(F81,0)</f>
        <v>0</v>
      </c>
      <c r="P81" s="238">
        <f t="shared" si="15"/>
        <v>0</v>
      </c>
      <c r="Q81" s="238">
        <f t="shared" si="15"/>
        <v>0</v>
      </c>
      <c r="R81" s="238">
        <f t="shared" si="15"/>
        <v>0</v>
      </c>
      <c r="S81" s="273">
        <f aca="true" t="shared" si="16" ref="S81:S92">IF(ISTEXT(J81),0,ROUND(J81,0))</f>
        <v>0</v>
      </c>
    </row>
    <row r="82" spans="2:19" ht="19.5" customHeight="1">
      <c r="B82" s="231">
        <v>65</v>
      </c>
      <c r="C82" s="268"/>
      <c r="D82" s="233" t="s">
        <v>147</v>
      </c>
      <c r="E82" s="1696">
        <v>5114.02</v>
      </c>
      <c r="F82" s="278"/>
      <c r="G82" s="278"/>
      <c r="H82" s="278"/>
      <c r="I82" s="270">
        <f t="shared" si="14"/>
        <v>0</v>
      </c>
      <c r="J82" s="279"/>
      <c r="K82" s="1215"/>
      <c r="L82" s="272"/>
      <c r="O82" s="238">
        <f t="shared" si="15"/>
        <v>0</v>
      </c>
      <c r="P82" s="238">
        <f t="shared" si="15"/>
        <v>0</v>
      </c>
      <c r="Q82" s="238">
        <f t="shared" si="15"/>
        <v>0</v>
      </c>
      <c r="R82" s="238">
        <f t="shared" si="15"/>
        <v>0</v>
      </c>
      <c r="S82" s="273">
        <f t="shared" si="16"/>
        <v>0</v>
      </c>
    </row>
    <row r="83" spans="2:19" ht="19.5" customHeight="1">
      <c r="B83" s="231">
        <v>66</v>
      </c>
      <c r="C83" s="268"/>
      <c r="D83" s="274" t="s">
        <v>148</v>
      </c>
      <c r="E83" s="1696">
        <v>5114.03</v>
      </c>
      <c r="F83" s="278"/>
      <c r="G83" s="278"/>
      <c r="H83" s="278"/>
      <c r="I83" s="270">
        <f t="shared" si="14"/>
        <v>0</v>
      </c>
      <c r="J83" s="279"/>
      <c r="K83" s="1215"/>
      <c r="L83" s="272"/>
      <c r="O83" s="238">
        <f t="shared" si="15"/>
        <v>0</v>
      </c>
      <c r="P83" s="238">
        <f t="shared" si="15"/>
        <v>0</v>
      </c>
      <c r="Q83" s="238">
        <f t="shared" si="15"/>
        <v>0</v>
      </c>
      <c r="R83" s="238">
        <f t="shared" si="15"/>
        <v>0</v>
      </c>
      <c r="S83" s="273">
        <f t="shared" si="16"/>
        <v>0</v>
      </c>
    </row>
    <row r="84" spans="2:19" ht="19.5" customHeight="1">
      <c r="B84" s="231">
        <v>67</v>
      </c>
      <c r="C84" s="275"/>
      <c r="D84" s="1333" t="s">
        <v>621</v>
      </c>
      <c r="E84" s="1696">
        <v>5114.04</v>
      </c>
      <c r="F84" s="278"/>
      <c r="G84" s="278"/>
      <c r="H84" s="278"/>
      <c r="I84" s="270">
        <f t="shared" si="14"/>
        <v>0</v>
      </c>
      <c r="J84" s="279"/>
      <c r="K84" s="1215"/>
      <c r="L84" s="272"/>
      <c r="O84" s="238">
        <f t="shared" si="15"/>
        <v>0</v>
      </c>
      <c r="P84" s="238">
        <f t="shared" si="15"/>
        <v>0</v>
      </c>
      <c r="Q84" s="238">
        <f t="shared" si="15"/>
        <v>0</v>
      </c>
      <c r="R84" s="238">
        <f t="shared" si="15"/>
        <v>0</v>
      </c>
      <c r="S84" s="273">
        <f t="shared" si="16"/>
        <v>0</v>
      </c>
    </row>
    <row r="85" spans="2:19" s="254" customFormat="1" ht="36" customHeight="1">
      <c r="B85" s="231">
        <v>68</v>
      </c>
      <c r="C85" s="275"/>
      <c r="D85" s="1333" t="s">
        <v>631</v>
      </c>
      <c r="E85" s="1695">
        <v>5114.05</v>
      </c>
      <c r="F85" s="276"/>
      <c r="G85" s="276"/>
      <c r="H85" s="276"/>
      <c r="I85" s="270">
        <f t="shared" si="14"/>
        <v>0</v>
      </c>
      <c r="J85" s="277"/>
      <c r="K85" s="1214"/>
      <c r="L85" s="272"/>
      <c r="O85" s="238">
        <f>ROUND(F85,0)</f>
        <v>0</v>
      </c>
      <c r="P85" s="238">
        <f>ROUND(G85,0)</f>
        <v>0</v>
      </c>
      <c r="Q85" s="238">
        <f>ROUND(H85,0)</f>
        <v>0</v>
      </c>
      <c r="R85" s="238">
        <f>ROUND(I85,0)</f>
        <v>0</v>
      </c>
      <c r="S85" s="273">
        <f>IF(ISTEXT(J85),0,ROUND(J85,0))</f>
        <v>0</v>
      </c>
    </row>
    <row r="86" spans="2:19" ht="19.5" customHeight="1">
      <c r="B86" s="231">
        <v>69</v>
      </c>
      <c r="C86" s="281" t="s">
        <v>627</v>
      </c>
      <c r="D86" s="1334"/>
      <c r="E86" s="1696"/>
      <c r="F86" s="1341">
        <f>SUM(F81:F85)</f>
        <v>0</v>
      </c>
      <c r="G86" s="1341">
        <f>SUM(G81:G85)</f>
        <v>0</v>
      </c>
      <c r="H86" s="1341">
        <f>SUM(H81:H85)</f>
        <v>0</v>
      </c>
      <c r="I86" s="1336">
        <f t="shared" si="14"/>
        <v>0</v>
      </c>
      <c r="J86" s="1341">
        <f>SUM(J81:J85)</f>
        <v>0</v>
      </c>
      <c r="K86" s="1215"/>
      <c r="L86" s="272"/>
      <c r="O86" s="238"/>
      <c r="P86" s="238"/>
      <c r="Q86" s="238"/>
      <c r="R86" s="238"/>
      <c r="S86" s="273"/>
    </row>
    <row r="87" spans="2:19" ht="19.5" customHeight="1">
      <c r="B87" s="231">
        <v>70</v>
      </c>
      <c r="C87" s="281" t="s">
        <v>623</v>
      </c>
      <c r="D87" s="1334"/>
      <c r="E87" s="1674"/>
      <c r="F87" s="1346"/>
      <c r="G87" s="1346"/>
      <c r="H87" s="1346"/>
      <c r="I87" s="1347"/>
      <c r="J87" s="1348"/>
      <c r="K87" s="1349"/>
      <c r="L87" s="272"/>
      <c r="O87" s="238"/>
      <c r="P87" s="238"/>
      <c r="Q87" s="238"/>
      <c r="R87" s="238"/>
      <c r="S87" s="273"/>
    </row>
    <row r="88" spans="2:19" ht="19.5" customHeight="1">
      <c r="B88" s="231">
        <v>71</v>
      </c>
      <c r="C88" s="268"/>
      <c r="D88" s="265" t="s">
        <v>149</v>
      </c>
      <c r="E88" s="1696">
        <v>5114.09</v>
      </c>
      <c r="F88" s="278"/>
      <c r="G88" s="278"/>
      <c r="H88" s="278"/>
      <c r="I88" s="270">
        <f t="shared" si="14"/>
        <v>0</v>
      </c>
      <c r="J88" s="918"/>
      <c r="K88" s="1216"/>
      <c r="L88" s="272"/>
      <c r="O88" s="238">
        <f t="shared" si="15"/>
        <v>0</v>
      </c>
      <c r="P88" s="238">
        <f t="shared" si="15"/>
        <v>0</v>
      </c>
      <c r="Q88" s="238">
        <f t="shared" si="15"/>
        <v>0</v>
      </c>
      <c r="R88" s="238">
        <f t="shared" si="15"/>
        <v>0</v>
      </c>
      <c r="S88" s="273">
        <f t="shared" si="16"/>
        <v>0</v>
      </c>
    </row>
    <row r="89" spans="2:19" ht="19.5" customHeight="1">
      <c r="B89" s="231">
        <v>72</v>
      </c>
      <c r="C89" s="268"/>
      <c r="D89" s="265" t="s">
        <v>150</v>
      </c>
      <c r="E89" s="1696">
        <v>5114.11</v>
      </c>
      <c r="F89" s="278"/>
      <c r="G89" s="278"/>
      <c r="H89" s="278"/>
      <c r="I89" s="270">
        <f t="shared" si="14"/>
        <v>0</v>
      </c>
      <c r="J89" s="1159"/>
      <c r="K89" s="1215"/>
      <c r="L89" s="272"/>
      <c r="O89" s="238">
        <f t="shared" si="15"/>
        <v>0</v>
      </c>
      <c r="P89" s="238">
        <f t="shared" si="15"/>
        <v>0</v>
      </c>
      <c r="Q89" s="238">
        <f t="shared" si="15"/>
        <v>0</v>
      </c>
      <c r="R89" s="238">
        <f t="shared" si="15"/>
        <v>0</v>
      </c>
      <c r="S89" s="273">
        <f t="shared" si="16"/>
        <v>0</v>
      </c>
    </row>
    <row r="90" spans="2:19" ht="19.5" customHeight="1">
      <c r="B90" s="231">
        <v>73</v>
      </c>
      <c r="C90" s="268"/>
      <c r="D90" s="265" t="s">
        <v>151</v>
      </c>
      <c r="E90" s="1696">
        <v>5114.12</v>
      </c>
      <c r="F90" s="278"/>
      <c r="G90" s="278"/>
      <c r="H90" s="278"/>
      <c r="I90" s="270">
        <f t="shared" si="14"/>
        <v>0</v>
      </c>
      <c r="J90" s="1159"/>
      <c r="K90" s="1215"/>
      <c r="L90" s="272"/>
      <c r="O90" s="238">
        <f t="shared" si="15"/>
        <v>0</v>
      </c>
      <c r="P90" s="238">
        <f t="shared" si="15"/>
        <v>0</v>
      </c>
      <c r="Q90" s="238">
        <f t="shared" si="15"/>
        <v>0</v>
      </c>
      <c r="R90" s="238">
        <f t="shared" si="15"/>
        <v>0</v>
      </c>
      <c r="S90" s="273">
        <f t="shared" si="16"/>
        <v>0</v>
      </c>
    </row>
    <row r="91" spans="2:19" ht="19.5" customHeight="1">
      <c r="B91" s="231">
        <v>74</v>
      </c>
      <c r="C91" s="268"/>
      <c r="D91" s="265" t="s">
        <v>152</v>
      </c>
      <c r="E91" s="1696">
        <v>5114.13</v>
      </c>
      <c r="F91" s="278"/>
      <c r="G91" s="278"/>
      <c r="H91" s="278"/>
      <c r="I91" s="270">
        <f t="shared" si="14"/>
        <v>0</v>
      </c>
      <c r="J91" s="918"/>
      <c r="K91" s="1216"/>
      <c r="L91" s="272"/>
      <c r="O91" s="238">
        <f t="shared" si="15"/>
        <v>0</v>
      </c>
      <c r="P91" s="238">
        <f t="shared" si="15"/>
        <v>0</v>
      </c>
      <c r="Q91" s="238">
        <f t="shared" si="15"/>
        <v>0</v>
      </c>
      <c r="R91" s="238">
        <f t="shared" si="15"/>
        <v>0</v>
      </c>
      <c r="S91" s="273">
        <f t="shared" si="16"/>
        <v>0</v>
      </c>
    </row>
    <row r="92" spans="2:19" ht="19.5" customHeight="1" thickBot="1">
      <c r="B92" s="1327">
        <v>75</v>
      </c>
      <c r="C92" s="1328"/>
      <c r="D92" s="1329" t="s">
        <v>153</v>
      </c>
      <c r="E92" s="1698">
        <v>5114.14</v>
      </c>
      <c r="F92" s="1596"/>
      <c r="G92" s="1596"/>
      <c r="H92" s="1596"/>
      <c r="I92" s="1330">
        <f t="shared" si="14"/>
        <v>0</v>
      </c>
      <c r="J92" s="1597"/>
      <c r="K92" s="1598"/>
      <c r="L92" s="272"/>
      <c r="O92" s="238">
        <f t="shared" si="15"/>
        <v>0</v>
      </c>
      <c r="P92" s="238">
        <f t="shared" si="15"/>
        <v>0</v>
      </c>
      <c r="Q92" s="238">
        <f t="shared" si="15"/>
        <v>0</v>
      </c>
      <c r="R92" s="238">
        <f t="shared" si="15"/>
        <v>0</v>
      </c>
      <c r="S92" s="273">
        <f t="shared" si="16"/>
        <v>0</v>
      </c>
    </row>
    <row r="93" spans="2:19" ht="19.5" customHeight="1">
      <c r="B93" s="1236"/>
      <c r="C93" s="208"/>
      <c r="D93" s="208"/>
      <c r="E93" s="1699"/>
      <c r="F93" s="1550"/>
      <c r="G93" s="1550"/>
      <c r="H93" s="1550"/>
      <c r="I93" s="361"/>
      <c r="J93" s="1551"/>
      <c r="K93" s="1552"/>
      <c r="L93" s="1553"/>
      <c r="O93" s="238"/>
      <c r="P93" s="238"/>
      <c r="Q93" s="238"/>
      <c r="R93" s="238"/>
      <c r="S93" s="273"/>
    </row>
    <row r="94" spans="3:12" ht="19.5" customHeight="1">
      <c r="C94" s="206" t="s">
        <v>265</v>
      </c>
      <c r="D94" s="922">
        <f>+$D$1</f>
        <v>0</v>
      </c>
      <c r="E94" s="1691"/>
      <c r="L94" s="285"/>
    </row>
    <row r="95" spans="3:5" ht="19.5" customHeight="1">
      <c r="C95" s="206" t="s">
        <v>266</v>
      </c>
      <c r="D95" s="207">
        <f>+$D$2</f>
        <v>0</v>
      </c>
      <c r="E95" s="1691" t="str">
        <f>Schedule_A!A3</f>
        <v>NURSING FACILITY 2019 COST REPORT</v>
      </c>
    </row>
    <row r="96" spans="3:5" ht="15.75">
      <c r="C96" s="206"/>
      <c r="D96" s="210"/>
      <c r="E96" s="1691"/>
    </row>
    <row r="97" spans="1:12" ht="18">
      <c r="A97" s="211" t="s">
        <v>198</v>
      </c>
      <c r="B97" s="212"/>
      <c r="C97" s="212"/>
      <c r="D97" s="212"/>
      <c r="E97" s="1692"/>
      <c r="F97" s="212"/>
      <c r="G97" s="212"/>
      <c r="H97" s="212"/>
      <c r="I97" s="212"/>
      <c r="J97" s="401"/>
      <c r="L97" s="212"/>
    </row>
    <row r="98" spans="1:18" s="1592" customFormat="1" ht="24" thickBot="1">
      <c r="A98" s="1548" t="s">
        <v>143</v>
      </c>
      <c r="B98" s="1548"/>
      <c r="C98" s="1548"/>
      <c r="D98" s="1548"/>
      <c r="E98" s="1700"/>
      <c r="F98" s="1548"/>
      <c r="G98" s="1548"/>
      <c r="H98" s="1548"/>
      <c r="I98" s="1548"/>
      <c r="J98" s="1589"/>
      <c r="K98" s="1590"/>
      <c r="L98" s="1548"/>
      <c r="O98" s="1593"/>
      <c r="P98" s="1593"/>
      <c r="Q98" s="1593"/>
      <c r="R98" s="1593"/>
    </row>
    <row r="99" spans="1:12" ht="63">
      <c r="A99" s="213"/>
      <c r="B99" s="256" t="s">
        <v>200</v>
      </c>
      <c r="C99" s="215"/>
      <c r="D99" s="216"/>
      <c r="E99" s="1677" t="s">
        <v>464</v>
      </c>
      <c r="F99" s="217" t="s">
        <v>193</v>
      </c>
      <c r="G99" s="218" t="s">
        <v>468</v>
      </c>
      <c r="H99" s="219"/>
      <c r="I99" s="257" t="s">
        <v>201</v>
      </c>
      <c r="J99" s="1092"/>
      <c r="K99" s="1085" t="s">
        <v>202</v>
      </c>
      <c r="L99" s="258"/>
    </row>
    <row r="100" spans="1:12" ht="15.75">
      <c r="A100" s="213"/>
      <c r="B100" s="221" t="s">
        <v>203</v>
      </c>
      <c r="C100" s="222" t="s">
        <v>464</v>
      </c>
      <c r="D100" s="223"/>
      <c r="E100" s="1678" t="s">
        <v>204</v>
      </c>
      <c r="F100" s="224" t="s">
        <v>205</v>
      </c>
      <c r="G100" s="224" t="s">
        <v>471</v>
      </c>
      <c r="H100" s="224" t="s">
        <v>472</v>
      </c>
      <c r="I100" s="260" t="s">
        <v>193</v>
      </c>
      <c r="J100" s="1093" t="s">
        <v>144</v>
      </c>
      <c r="K100" s="260"/>
      <c r="L100" s="261"/>
    </row>
    <row r="101" spans="1:12" ht="18.75">
      <c r="A101" s="213"/>
      <c r="B101" s="226"/>
      <c r="C101" s="264" t="s">
        <v>719</v>
      </c>
      <c r="D101" s="228"/>
      <c r="E101" s="1679" t="s">
        <v>473</v>
      </c>
      <c r="F101" s="229" t="s">
        <v>474</v>
      </c>
      <c r="G101" s="229" t="s">
        <v>475</v>
      </c>
      <c r="H101" s="229" t="s">
        <v>476</v>
      </c>
      <c r="I101" s="229" t="s">
        <v>477</v>
      </c>
      <c r="J101" s="1094" t="s">
        <v>478</v>
      </c>
      <c r="K101" s="262" t="s">
        <v>479</v>
      </c>
      <c r="L101" s="263"/>
    </row>
    <row r="102" spans="2:12" ht="18.75">
      <c r="B102" s="231">
        <v>76</v>
      </c>
      <c r="C102" s="286" t="s">
        <v>625</v>
      </c>
      <c r="D102" s="265"/>
      <c r="E102" s="1674"/>
      <c r="F102" s="287"/>
      <c r="G102" s="287"/>
      <c r="H102" s="287"/>
      <c r="I102" s="287"/>
      <c r="J102" s="1096"/>
      <c r="K102" s="1218"/>
      <c r="L102" s="289"/>
    </row>
    <row r="103" spans="2:19" ht="19.5" customHeight="1">
      <c r="B103" s="231">
        <v>77</v>
      </c>
      <c r="C103" s="268"/>
      <c r="D103" s="265" t="s">
        <v>601</v>
      </c>
      <c r="E103" s="1681">
        <v>5114.25</v>
      </c>
      <c r="F103" s="237"/>
      <c r="G103" s="237"/>
      <c r="H103" s="237"/>
      <c r="I103" s="241">
        <f>+F103+G103-H103</f>
        <v>0</v>
      </c>
      <c r="J103" s="919"/>
      <c r="K103" s="1219"/>
      <c r="L103" s="290"/>
      <c r="O103" s="238">
        <f aca="true" t="shared" si="17" ref="O103:R104">ROUND(F103,0)</f>
        <v>0</v>
      </c>
      <c r="P103" s="238">
        <f t="shared" si="17"/>
        <v>0</v>
      </c>
      <c r="Q103" s="238">
        <f t="shared" si="17"/>
        <v>0</v>
      </c>
      <c r="R103" s="238">
        <f t="shared" si="17"/>
        <v>0</v>
      </c>
      <c r="S103" s="273">
        <f>IF(ISTEXT(J103),0,ROUND(J103,0))</f>
        <v>0</v>
      </c>
    </row>
    <row r="104" spans="2:19" s="291" customFormat="1" ht="19.5" customHeight="1">
      <c r="B104" s="231">
        <v>78</v>
      </c>
      <c r="C104" s="239"/>
      <c r="D104" s="293" t="s">
        <v>311</v>
      </c>
      <c r="E104" s="1681">
        <v>5114.24</v>
      </c>
      <c r="F104" s="237"/>
      <c r="G104" s="237"/>
      <c r="H104" s="237"/>
      <c r="I104" s="241">
        <f>+F104+G104-H104</f>
        <v>0</v>
      </c>
      <c r="J104" s="919"/>
      <c r="K104" s="1219"/>
      <c r="L104" s="290" t="str">
        <f>IF(J104&lt;0,ROUND(I104/J104,0)," ")</f>
        <v> </v>
      </c>
      <c r="O104" s="238">
        <f t="shared" si="17"/>
        <v>0</v>
      </c>
      <c r="P104" s="238">
        <f t="shared" si="17"/>
        <v>0</v>
      </c>
      <c r="Q104" s="238">
        <f t="shared" si="17"/>
        <v>0</v>
      </c>
      <c r="R104" s="238">
        <f t="shared" si="17"/>
        <v>0</v>
      </c>
      <c r="S104" s="273">
        <f>IF(ISTEXT(J104),0,ROUND(J104,0))</f>
        <v>0</v>
      </c>
    </row>
    <row r="105" spans="2:19" ht="19.5" customHeight="1">
      <c r="B105" s="231">
        <v>79</v>
      </c>
      <c r="C105" s="294" t="s">
        <v>312</v>
      </c>
      <c r="D105" s="274"/>
      <c r="E105" s="1683">
        <v>5114</v>
      </c>
      <c r="F105" s="241">
        <f>O105</f>
        <v>0</v>
      </c>
      <c r="G105" s="241">
        <f>P105</f>
        <v>0</v>
      </c>
      <c r="H105" s="241">
        <f>Q105</f>
        <v>0</v>
      </c>
      <c r="I105" s="241">
        <f>R105</f>
        <v>0</v>
      </c>
      <c r="J105" s="1145">
        <f>S105</f>
        <v>0</v>
      </c>
      <c r="K105" s="1220"/>
      <c r="L105" s="295"/>
      <c r="O105" s="1339">
        <f>ROUND(SUM(O81:O92,O103:O104),0)</f>
        <v>0</v>
      </c>
      <c r="P105" s="1339">
        <f>ROUND(SUM(P81:P92,P103:P104),0)</f>
        <v>0</v>
      </c>
      <c r="Q105" s="1339">
        <f>ROUND(SUM(Q81:Q92,Q103:Q104),0)</f>
        <v>0</v>
      </c>
      <c r="R105" s="1339">
        <f>ROUND(SUM(R81:R92,R103:R104),0)</f>
        <v>0</v>
      </c>
      <c r="S105" s="1339">
        <f>ROUND(SUM(S81:S92,S103:S104),0)</f>
        <v>0</v>
      </c>
    </row>
    <row r="106" spans="2:12" ht="18.75">
      <c r="B106" s="231">
        <v>80</v>
      </c>
      <c r="C106" s="286" t="s">
        <v>313</v>
      </c>
      <c r="D106" s="265"/>
      <c r="E106" s="1674"/>
      <c r="F106" s="242"/>
      <c r="G106" s="242"/>
      <c r="H106" s="242"/>
      <c r="I106" s="242"/>
      <c r="J106" s="1096"/>
      <c r="K106" s="1218"/>
      <c r="L106" s="295"/>
    </row>
    <row r="107" spans="2:19" ht="19.5" customHeight="1">
      <c r="B107" s="231">
        <v>81</v>
      </c>
      <c r="C107" s="268"/>
      <c r="D107" s="265" t="s">
        <v>146</v>
      </c>
      <c r="E107" s="1681">
        <v>5115.01</v>
      </c>
      <c r="F107" s="237"/>
      <c r="G107" s="237"/>
      <c r="H107" s="237"/>
      <c r="I107" s="241">
        <f aca="true" t="shared" si="18" ref="I107:I120">+F107+G107-H107</f>
        <v>0</v>
      </c>
      <c r="J107" s="919"/>
      <c r="K107" s="1219"/>
      <c r="L107" s="290" t="str">
        <f aca="true" t="shared" si="19" ref="L107:L120">IF(J107&lt;0,ROUND(I107/J107,0)," ")</f>
        <v> </v>
      </c>
      <c r="O107" s="238">
        <f aca="true" t="shared" si="20" ref="O107:R120">ROUND(F107,0)</f>
        <v>0</v>
      </c>
      <c r="P107" s="238">
        <f t="shared" si="20"/>
        <v>0</v>
      </c>
      <c r="Q107" s="238">
        <f t="shared" si="20"/>
        <v>0</v>
      </c>
      <c r="R107" s="238">
        <f t="shared" si="20"/>
        <v>0</v>
      </c>
      <c r="S107" s="273">
        <f aca="true" t="shared" si="21" ref="S107:S120">IF(ISTEXT(J107),0,ROUND(J107,0))</f>
        <v>0</v>
      </c>
    </row>
    <row r="108" spans="2:19" ht="19.5" customHeight="1">
      <c r="B108" s="231">
        <v>82</v>
      </c>
      <c r="C108" s="268"/>
      <c r="D108" s="265" t="s">
        <v>147</v>
      </c>
      <c r="E108" s="1681">
        <v>5115.02</v>
      </c>
      <c r="F108" s="237"/>
      <c r="G108" s="237"/>
      <c r="H108" s="237"/>
      <c r="I108" s="241">
        <f t="shared" si="18"/>
        <v>0</v>
      </c>
      <c r="J108" s="919"/>
      <c r="K108" s="1219"/>
      <c r="L108" s="290" t="str">
        <f t="shared" si="19"/>
        <v> </v>
      </c>
      <c r="O108" s="238">
        <f t="shared" si="20"/>
        <v>0</v>
      </c>
      <c r="P108" s="238">
        <f t="shared" si="20"/>
        <v>0</v>
      </c>
      <c r="Q108" s="238">
        <f t="shared" si="20"/>
        <v>0</v>
      </c>
      <c r="R108" s="238">
        <f t="shared" si="20"/>
        <v>0</v>
      </c>
      <c r="S108" s="273">
        <f t="shared" si="21"/>
        <v>0</v>
      </c>
    </row>
    <row r="109" spans="2:19" ht="19.5" customHeight="1">
      <c r="B109" s="231">
        <v>83</v>
      </c>
      <c r="C109" s="268"/>
      <c r="D109" s="265" t="s">
        <v>148</v>
      </c>
      <c r="E109" s="1681">
        <v>5115.03</v>
      </c>
      <c r="F109" s="237"/>
      <c r="G109" s="237"/>
      <c r="H109" s="237"/>
      <c r="I109" s="241">
        <f t="shared" si="18"/>
        <v>0</v>
      </c>
      <c r="J109" s="919"/>
      <c r="K109" s="1219"/>
      <c r="L109" s="290" t="str">
        <f t="shared" si="19"/>
        <v> </v>
      </c>
      <c r="O109" s="238">
        <f t="shared" si="20"/>
        <v>0</v>
      </c>
      <c r="P109" s="238">
        <f t="shared" si="20"/>
        <v>0</v>
      </c>
      <c r="Q109" s="238">
        <f t="shared" si="20"/>
        <v>0</v>
      </c>
      <c r="R109" s="238">
        <f t="shared" si="20"/>
        <v>0</v>
      </c>
      <c r="S109" s="273">
        <f t="shared" si="21"/>
        <v>0</v>
      </c>
    </row>
    <row r="110" spans="2:19" ht="19.5" customHeight="1">
      <c r="B110" s="231">
        <v>84</v>
      </c>
      <c r="C110" s="268"/>
      <c r="D110" s="1333" t="s">
        <v>621</v>
      </c>
      <c r="E110" s="1681">
        <v>5115.04</v>
      </c>
      <c r="F110" s="237"/>
      <c r="G110" s="237"/>
      <c r="H110" s="237"/>
      <c r="I110" s="241">
        <f t="shared" si="18"/>
        <v>0</v>
      </c>
      <c r="J110" s="919"/>
      <c r="K110" s="1219"/>
      <c r="L110" s="290" t="str">
        <f t="shared" si="19"/>
        <v> </v>
      </c>
      <c r="O110" s="238">
        <f t="shared" si="20"/>
        <v>0</v>
      </c>
      <c r="P110" s="238">
        <f t="shared" si="20"/>
        <v>0</v>
      </c>
      <c r="Q110" s="238">
        <f t="shared" si="20"/>
        <v>0</v>
      </c>
      <c r="R110" s="238">
        <f t="shared" si="20"/>
        <v>0</v>
      </c>
      <c r="S110" s="273">
        <f t="shared" si="21"/>
        <v>0</v>
      </c>
    </row>
    <row r="111" spans="2:19" s="254" customFormat="1" ht="36" customHeight="1">
      <c r="B111" s="231">
        <v>85</v>
      </c>
      <c r="C111" s="275"/>
      <c r="D111" s="1333" t="s">
        <v>631</v>
      </c>
      <c r="E111" s="1695">
        <v>5115.05</v>
      </c>
      <c r="F111" s="276"/>
      <c r="G111" s="276"/>
      <c r="H111" s="276"/>
      <c r="I111" s="270">
        <f>+F111+G111-H111</f>
        <v>0</v>
      </c>
      <c r="J111" s="277"/>
      <c r="K111" s="1214"/>
      <c r="L111" s="272" t="str">
        <f t="shared" si="19"/>
        <v> </v>
      </c>
      <c r="O111" s="238">
        <f>ROUND(F111,0)</f>
        <v>0</v>
      </c>
      <c r="P111" s="238">
        <f>ROUND(G111,0)</f>
        <v>0</v>
      </c>
      <c r="Q111" s="238">
        <f>ROUND(H111,0)</f>
        <v>0</v>
      </c>
      <c r="R111" s="238">
        <f>ROUND(I111,0)</f>
        <v>0</v>
      </c>
      <c r="S111" s="273">
        <f>IF(ISTEXT(J111),0,ROUND(J111,0))</f>
        <v>0</v>
      </c>
    </row>
    <row r="112" spans="2:19" ht="19.5" customHeight="1">
      <c r="B112" s="231">
        <v>86</v>
      </c>
      <c r="C112" s="281" t="s">
        <v>628</v>
      </c>
      <c r="D112" s="1334"/>
      <c r="E112" s="1681"/>
      <c r="F112" s="1145">
        <f>SUM(F107:F111)</f>
        <v>0</v>
      </c>
      <c r="G112" s="1145">
        <f>SUM(G107:G111)</f>
        <v>0</v>
      </c>
      <c r="H112" s="1145">
        <f>SUM(H107:H111)</f>
        <v>0</v>
      </c>
      <c r="I112" s="1145">
        <f>+F112+G112-H112</f>
        <v>0</v>
      </c>
      <c r="J112" s="1340">
        <f>SUM(J107:J111)</f>
        <v>0</v>
      </c>
      <c r="K112" s="1219"/>
      <c r="L112" s="290"/>
      <c r="O112" s="238"/>
      <c r="P112" s="238"/>
      <c r="Q112" s="238"/>
      <c r="R112" s="238"/>
      <c r="S112" s="273"/>
    </row>
    <row r="113" spans="2:19" ht="19.5" customHeight="1">
      <c r="B113" s="231">
        <v>87</v>
      </c>
      <c r="C113" s="281" t="s">
        <v>624</v>
      </c>
      <c r="D113" s="1334"/>
      <c r="E113" s="1674"/>
      <c r="F113" s="1346"/>
      <c r="G113" s="1346"/>
      <c r="H113" s="1346"/>
      <c r="I113" s="1347"/>
      <c r="J113" s="1348"/>
      <c r="K113" s="1349"/>
      <c r="L113" s="290"/>
      <c r="O113" s="238"/>
      <c r="P113" s="238"/>
      <c r="Q113" s="238"/>
      <c r="R113" s="238"/>
      <c r="S113" s="273"/>
    </row>
    <row r="114" spans="2:19" ht="19.5" customHeight="1">
      <c r="B114" s="231">
        <v>88</v>
      </c>
      <c r="C114" s="268"/>
      <c r="D114" s="265" t="s">
        <v>149</v>
      </c>
      <c r="E114" s="1681">
        <v>5115.09</v>
      </c>
      <c r="F114" s="237"/>
      <c r="G114" s="237"/>
      <c r="H114" s="237"/>
      <c r="I114" s="241">
        <f t="shared" si="18"/>
        <v>0</v>
      </c>
      <c r="J114" s="919"/>
      <c r="K114" s="1219"/>
      <c r="L114" s="290" t="str">
        <f t="shared" si="19"/>
        <v> </v>
      </c>
      <c r="O114" s="238">
        <f t="shared" si="20"/>
        <v>0</v>
      </c>
      <c r="P114" s="238">
        <f t="shared" si="20"/>
        <v>0</v>
      </c>
      <c r="Q114" s="238">
        <f t="shared" si="20"/>
        <v>0</v>
      </c>
      <c r="R114" s="238">
        <f t="shared" si="20"/>
        <v>0</v>
      </c>
      <c r="S114" s="273">
        <f t="shared" si="21"/>
        <v>0</v>
      </c>
    </row>
    <row r="115" spans="2:19" ht="19.5" customHeight="1">
      <c r="B115" s="231">
        <v>89</v>
      </c>
      <c r="C115" s="268"/>
      <c r="D115" s="265" t="s">
        <v>150</v>
      </c>
      <c r="E115" s="1681">
        <v>5115.11</v>
      </c>
      <c r="F115" s="237"/>
      <c r="G115" s="237"/>
      <c r="H115" s="237"/>
      <c r="I115" s="241">
        <f t="shared" si="18"/>
        <v>0</v>
      </c>
      <c r="J115" s="919"/>
      <c r="K115" s="1219"/>
      <c r="L115" s="290" t="str">
        <f t="shared" si="19"/>
        <v> </v>
      </c>
      <c r="O115" s="238">
        <f t="shared" si="20"/>
        <v>0</v>
      </c>
      <c r="P115" s="238">
        <f t="shared" si="20"/>
        <v>0</v>
      </c>
      <c r="Q115" s="238">
        <f t="shared" si="20"/>
        <v>0</v>
      </c>
      <c r="R115" s="238">
        <f t="shared" si="20"/>
        <v>0</v>
      </c>
      <c r="S115" s="273">
        <f t="shared" si="21"/>
        <v>0</v>
      </c>
    </row>
    <row r="116" spans="2:19" ht="19.5" customHeight="1">
      <c r="B116" s="231">
        <v>90</v>
      </c>
      <c r="C116" s="268"/>
      <c r="D116" s="265" t="s">
        <v>151</v>
      </c>
      <c r="E116" s="1681">
        <v>5115.12</v>
      </c>
      <c r="F116" s="237"/>
      <c r="G116" s="237"/>
      <c r="H116" s="237"/>
      <c r="I116" s="241">
        <f t="shared" si="18"/>
        <v>0</v>
      </c>
      <c r="J116" s="919"/>
      <c r="K116" s="1219"/>
      <c r="L116" s="290" t="str">
        <f t="shared" si="19"/>
        <v> </v>
      </c>
      <c r="O116" s="238">
        <f t="shared" si="20"/>
        <v>0</v>
      </c>
      <c r="P116" s="238">
        <f t="shared" si="20"/>
        <v>0</v>
      </c>
      <c r="Q116" s="238">
        <f t="shared" si="20"/>
        <v>0</v>
      </c>
      <c r="R116" s="238">
        <f t="shared" si="20"/>
        <v>0</v>
      </c>
      <c r="S116" s="273">
        <f t="shared" si="21"/>
        <v>0</v>
      </c>
    </row>
    <row r="117" spans="2:19" ht="19.5" customHeight="1">
      <c r="B117" s="231">
        <v>91</v>
      </c>
      <c r="C117" s="268"/>
      <c r="D117" s="265" t="s">
        <v>152</v>
      </c>
      <c r="E117" s="1681">
        <v>5115.13</v>
      </c>
      <c r="F117" s="237"/>
      <c r="G117" s="237"/>
      <c r="H117" s="237"/>
      <c r="I117" s="241">
        <f t="shared" si="18"/>
        <v>0</v>
      </c>
      <c r="J117" s="919"/>
      <c r="K117" s="1219"/>
      <c r="L117" s="290" t="str">
        <f t="shared" si="19"/>
        <v> </v>
      </c>
      <c r="O117" s="238">
        <f t="shared" si="20"/>
        <v>0</v>
      </c>
      <c r="P117" s="238">
        <f t="shared" si="20"/>
        <v>0</v>
      </c>
      <c r="Q117" s="238">
        <f t="shared" si="20"/>
        <v>0</v>
      </c>
      <c r="R117" s="238">
        <f t="shared" si="20"/>
        <v>0</v>
      </c>
      <c r="S117" s="273">
        <f t="shared" si="21"/>
        <v>0</v>
      </c>
    </row>
    <row r="118" spans="2:19" ht="19.5" customHeight="1">
      <c r="B118" s="231">
        <v>92</v>
      </c>
      <c r="C118" s="268"/>
      <c r="D118" s="265" t="s">
        <v>153</v>
      </c>
      <c r="E118" s="1681">
        <v>5115.14</v>
      </c>
      <c r="F118" s="237"/>
      <c r="G118" s="237"/>
      <c r="H118" s="237"/>
      <c r="I118" s="241">
        <f t="shared" si="18"/>
        <v>0</v>
      </c>
      <c r="J118" s="919"/>
      <c r="K118" s="1219"/>
      <c r="L118" s="290" t="str">
        <f t="shared" si="19"/>
        <v> </v>
      </c>
      <c r="O118" s="238">
        <f t="shared" si="20"/>
        <v>0</v>
      </c>
      <c r="P118" s="238">
        <f t="shared" si="20"/>
        <v>0</v>
      </c>
      <c r="Q118" s="238">
        <f t="shared" si="20"/>
        <v>0</v>
      </c>
      <c r="R118" s="238">
        <f t="shared" si="20"/>
        <v>0</v>
      </c>
      <c r="S118" s="273">
        <f t="shared" si="21"/>
        <v>0</v>
      </c>
    </row>
    <row r="119" spans="2:19" ht="19.5" customHeight="1">
      <c r="B119" s="231">
        <v>93</v>
      </c>
      <c r="C119" s="268"/>
      <c r="D119" s="265" t="s">
        <v>601</v>
      </c>
      <c r="E119" s="1681">
        <v>5115.25</v>
      </c>
      <c r="F119" s="237"/>
      <c r="G119" s="237"/>
      <c r="H119" s="237"/>
      <c r="I119" s="241">
        <f t="shared" si="18"/>
        <v>0</v>
      </c>
      <c r="J119" s="919"/>
      <c r="K119" s="1219"/>
      <c r="L119" s="290"/>
      <c r="O119" s="238">
        <f>ROUND(F119,0)</f>
        <v>0</v>
      </c>
      <c r="P119" s="238">
        <f>ROUND(G119,0)</f>
        <v>0</v>
      </c>
      <c r="Q119" s="238">
        <f>ROUND(H119,0)</f>
        <v>0</v>
      </c>
      <c r="R119" s="238">
        <f>ROUND(I119,0)</f>
        <v>0</v>
      </c>
      <c r="S119" s="273">
        <f>IF(ISTEXT(J119),0,ROUND(J119,0))</f>
        <v>0</v>
      </c>
    </row>
    <row r="120" spans="2:19" ht="19.5" customHeight="1">
      <c r="B120" s="231">
        <v>94</v>
      </c>
      <c r="C120" s="268"/>
      <c r="D120" s="293" t="s">
        <v>311</v>
      </c>
      <c r="E120" s="1681">
        <v>5115.24</v>
      </c>
      <c r="F120" s="237"/>
      <c r="G120" s="237"/>
      <c r="H120" s="237"/>
      <c r="I120" s="241">
        <f t="shared" si="18"/>
        <v>0</v>
      </c>
      <c r="J120" s="919"/>
      <c r="K120" s="1219"/>
      <c r="L120" s="290" t="str">
        <f t="shared" si="19"/>
        <v> </v>
      </c>
      <c r="O120" s="238">
        <f t="shared" si="20"/>
        <v>0</v>
      </c>
      <c r="P120" s="238">
        <f t="shared" si="20"/>
        <v>0</v>
      </c>
      <c r="Q120" s="238">
        <f t="shared" si="20"/>
        <v>0</v>
      </c>
      <c r="R120" s="238">
        <f t="shared" si="20"/>
        <v>0</v>
      </c>
      <c r="S120" s="273">
        <f t="shared" si="21"/>
        <v>0</v>
      </c>
    </row>
    <row r="121" spans="2:19" ht="19.5" customHeight="1">
      <c r="B121" s="231">
        <v>95</v>
      </c>
      <c r="C121" s="298" t="s">
        <v>314</v>
      </c>
      <c r="D121" s="299"/>
      <c r="E121" s="1681">
        <v>5115</v>
      </c>
      <c r="F121" s="241">
        <f>O121</f>
        <v>0</v>
      </c>
      <c r="G121" s="241">
        <f>P121</f>
        <v>0</v>
      </c>
      <c r="H121" s="241">
        <f>Q121</f>
        <v>0</v>
      </c>
      <c r="I121" s="241">
        <f>R121</f>
        <v>0</v>
      </c>
      <c r="J121" s="1145">
        <f>S121</f>
        <v>0</v>
      </c>
      <c r="K121" s="1220"/>
      <c r="L121" s="295"/>
      <c r="O121" s="1339">
        <f>ROUND(SUM(O107:O120),)</f>
        <v>0</v>
      </c>
      <c r="P121" s="1339">
        <f>ROUND(SUM(P107:P120),)</f>
        <v>0</v>
      </c>
      <c r="Q121" s="1339">
        <f>ROUND(SUM(Q107:Q120),)</f>
        <v>0</v>
      </c>
      <c r="R121" s="1339">
        <f>ROUND(SUM(R107:R120),)</f>
        <v>0</v>
      </c>
      <c r="S121" s="1339">
        <f>ROUND(SUM(S107:S120),)</f>
        <v>0</v>
      </c>
    </row>
    <row r="122" spans="2:18" ht="19.5" customHeight="1" thickBot="1">
      <c r="B122" s="231">
        <v>96</v>
      </c>
      <c r="C122" s="249" t="s">
        <v>315</v>
      </c>
      <c r="D122" s="265"/>
      <c r="E122" s="1684">
        <v>5119</v>
      </c>
      <c r="F122" s="237"/>
      <c r="G122" s="237"/>
      <c r="H122" s="237"/>
      <c r="I122" s="241">
        <f>+F122+G122-H122</f>
        <v>0</v>
      </c>
      <c r="J122" s="1146"/>
      <c r="K122" s="1219"/>
      <c r="L122" s="295"/>
      <c r="O122" s="238">
        <f>ROUND(F122,0)</f>
        <v>0</v>
      </c>
      <c r="P122" s="238">
        <f>ROUND(G122,0)</f>
        <v>0</v>
      </c>
      <c r="Q122" s="238">
        <f>ROUND(H122,0)</f>
        <v>0</v>
      </c>
      <c r="R122" s="238">
        <f>ROUND(I122,0)</f>
        <v>0</v>
      </c>
    </row>
    <row r="123" spans="2:19" ht="19.5" customHeight="1" thickBot="1">
      <c r="B123" s="231">
        <v>97</v>
      </c>
      <c r="C123" s="348" t="s">
        <v>718</v>
      </c>
      <c r="D123" s="349"/>
      <c r="E123" s="1701">
        <v>9900</v>
      </c>
      <c r="F123" s="1613">
        <f>O123</f>
        <v>0</v>
      </c>
      <c r="G123" s="1613">
        <f>P123</f>
        <v>0</v>
      </c>
      <c r="H123" s="1613">
        <f>Q123</f>
        <v>0</v>
      </c>
      <c r="I123" s="1613">
        <f>R123</f>
        <v>0</v>
      </c>
      <c r="J123" s="1613">
        <f>S123</f>
        <v>0</v>
      </c>
      <c r="K123" s="1614"/>
      <c r="L123" s="295"/>
      <c r="O123" s="1338">
        <f>ROUND(SUM(O76+O77+O78+O79+O105+O121+O122),0)</f>
        <v>0</v>
      </c>
      <c r="P123" s="1338">
        <f>ROUND(SUM(P76+P77+P78+P79+P105+P121+P122),0)</f>
        <v>0</v>
      </c>
      <c r="Q123" s="1338">
        <f>ROUND(SUM(Q76+Q77+Q78+Q79+Q105+Q121+Q122),0)</f>
        <v>0</v>
      </c>
      <c r="R123" s="1338">
        <f>ROUND(SUM(R76+R77+R78+R79+R105+R121+R122),0)</f>
        <v>0</v>
      </c>
      <c r="S123" s="1338">
        <f>ROUND(SUM(S76+S77+S78+S79+S105+S121+S122),0)</f>
        <v>0</v>
      </c>
    </row>
    <row r="124" spans="2:18" ht="19.5" customHeight="1" thickBot="1">
      <c r="B124" s="231">
        <v>98</v>
      </c>
      <c r="C124" s="1609" t="s">
        <v>670</v>
      </c>
      <c r="D124" s="349"/>
      <c r="E124" s="1702">
        <v>5111.1</v>
      </c>
      <c r="F124" s="1610"/>
      <c r="G124" s="1611"/>
      <c r="H124" s="1611"/>
      <c r="I124" s="1583">
        <f>IF((+G124-H124)=_C620097,+G124-H124,"ERR!!!!!!!!")</f>
        <v>0</v>
      </c>
      <c r="J124" s="1612"/>
      <c r="K124" s="1224"/>
      <c r="L124" s="289"/>
      <c r="P124" s="238">
        <f>ROUND(G124,0)</f>
        <v>0</v>
      </c>
      <c r="Q124" s="238">
        <f>ROUND(H124,0)</f>
        <v>0</v>
      </c>
      <c r="R124" s="238">
        <f>ROUND(I124,0)</f>
        <v>0</v>
      </c>
    </row>
    <row r="125" spans="2:18" ht="19.5" customHeight="1">
      <c r="B125" s="231">
        <v>99</v>
      </c>
      <c r="C125" s="1616" t="s">
        <v>316</v>
      </c>
      <c r="D125" s="1617"/>
      <c r="E125" s="1703">
        <v>5210</v>
      </c>
      <c r="F125" s="1618"/>
      <c r="G125" s="1618"/>
      <c r="H125" s="1618"/>
      <c r="I125" s="1619">
        <f>+F125+G125-H125</f>
        <v>0</v>
      </c>
      <c r="J125" s="1620"/>
      <c r="K125" s="1221"/>
      <c r="L125" s="289"/>
      <c r="O125" s="238">
        <f aca="true" t="shared" si="22" ref="O125:R126">ROUND(F125,0)</f>
        <v>0</v>
      </c>
      <c r="P125" s="238">
        <f t="shared" si="22"/>
        <v>0</v>
      </c>
      <c r="Q125" s="238">
        <f t="shared" si="22"/>
        <v>0</v>
      </c>
      <c r="R125" s="238">
        <f t="shared" si="22"/>
        <v>0</v>
      </c>
    </row>
    <row r="126" spans="2:18" ht="19.5" customHeight="1">
      <c r="B126" s="231">
        <v>100</v>
      </c>
      <c r="C126" s="249" t="s">
        <v>753</v>
      </c>
      <c r="D126" s="265"/>
      <c r="E126" s="1684">
        <v>5220</v>
      </c>
      <c r="F126" s="269"/>
      <c r="G126" s="269"/>
      <c r="H126" s="269"/>
      <c r="I126" s="270">
        <f>+F126+G126-H126</f>
        <v>0</v>
      </c>
      <c r="J126" s="334"/>
      <c r="K126" s="1615"/>
      <c r="L126" s="267"/>
      <c r="O126" s="238">
        <f t="shared" si="22"/>
        <v>0</v>
      </c>
      <c r="P126" s="238">
        <f t="shared" si="22"/>
        <v>0</v>
      </c>
      <c r="Q126" s="238">
        <f t="shared" si="22"/>
        <v>0</v>
      </c>
      <c r="R126" s="238">
        <f t="shared" si="22"/>
        <v>0</v>
      </c>
    </row>
    <row r="127" spans="2:18" ht="19.5" customHeight="1" thickBot="1">
      <c r="B127" s="231">
        <v>101</v>
      </c>
      <c r="C127" s="305" t="s">
        <v>629</v>
      </c>
      <c r="D127" s="283"/>
      <c r="E127" s="1676">
        <v>5200</v>
      </c>
      <c r="F127" s="284">
        <f>O127</f>
        <v>0</v>
      </c>
      <c r="G127" s="284">
        <f>P127</f>
        <v>0</v>
      </c>
      <c r="H127" s="284">
        <f>Q127</f>
        <v>0</v>
      </c>
      <c r="I127" s="284">
        <f>R127</f>
        <v>0</v>
      </c>
      <c r="J127" s="1148"/>
      <c r="K127" s="1226"/>
      <c r="L127" s="267"/>
      <c r="O127" s="307">
        <f>ROUND(SUM(+O125+O126),0)</f>
        <v>0</v>
      </c>
      <c r="P127" s="307">
        <f>ROUND(SUM(+P125+P126),0)</f>
        <v>0</v>
      </c>
      <c r="Q127" s="307">
        <f>ROUND(SUM(+Q125+Q126),0)</f>
        <v>0</v>
      </c>
      <c r="R127" s="307">
        <f>ROUND(SUM(+R125+R126),0)</f>
        <v>0</v>
      </c>
    </row>
    <row r="128" spans="2:12" ht="18.75">
      <c r="B128" s="231">
        <v>102</v>
      </c>
      <c r="C128" s="1621" t="s">
        <v>317</v>
      </c>
      <c r="D128" s="1617"/>
      <c r="E128" s="1704"/>
      <c r="F128" s="1622"/>
      <c r="G128" s="1622"/>
      <c r="H128" s="1622"/>
      <c r="I128" s="1622"/>
      <c r="J128" s="1623"/>
      <c r="K128" s="1221"/>
      <c r="L128" s="309"/>
    </row>
    <row r="129" spans="2:19" ht="19.5" customHeight="1">
      <c r="B129" s="231">
        <v>103</v>
      </c>
      <c r="C129" s="268"/>
      <c r="D129" s="265" t="s">
        <v>318</v>
      </c>
      <c r="E129" s="1705">
        <v>5451</v>
      </c>
      <c r="F129" s="237"/>
      <c r="G129" s="237"/>
      <c r="H129" s="237"/>
      <c r="I129" s="311">
        <f aca="true" t="shared" si="23" ref="I129:I135">+F129+G129-H129</f>
        <v>0</v>
      </c>
      <c r="J129" s="312"/>
      <c r="K129" s="1615"/>
      <c r="L129" s="272" t="str">
        <f>IF(J129&lt;0,ROUND(I129/J129,0)," ")</f>
        <v> </v>
      </c>
      <c r="O129" s="238">
        <f aca="true" t="shared" si="24" ref="O129:R135">ROUND(F129,0)</f>
        <v>0</v>
      </c>
      <c r="P129" s="238">
        <f t="shared" si="24"/>
        <v>0</v>
      </c>
      <c r="Q129" s="238">
        <f t="shared" si="24"/>
        <v>0</v>
      </c>
      <c r="R129" s="238">
        <f t="shared" si="24"/>
        <v>0</v>
      </c>
      <c r="S129" s="273">
        <f>IF(ISTEXT(J129),0,ROUND(J129,0))</f>
        <v>0</v>
      </c>
    </row>
    <row r="130" spans="2:18" ht="19.5" customHeight="1">
      <c r="B130" s="231">
        <v>104</v>
      </c>
      <c r="C130" s="268"/>
      <c r="D130" s="265" t="s">
        <v>319</v>
      </c>
      <c r="E130" s="1681">
        <v>5457</v>
      </c>
      <c r="F130" s="237"/>
      <c r="G130" s="237"/>
      <c r="H130" s="237"/>
      <c r="I130" s="311">
        <f t="shared" si="23"/>
        <v>0</v>
      </c>
      <c r="J130" s="1150"/>
      <c r="K130" s="1615"/>
      <c r="L130" s="295"/>
      <c r="O130" s="238">
        <f t="shared" si="24"/>
        <v>0</v>
      </c>
      <c r="P130" s="238">
        <f t="shared" si="24"/>
        <v>0</v>
      </c>
      <c r="Q130" s="238">
        <f t="shared" si="24"/>
        <v>0</v>
      </c>
      <c r="R130" s="238">
        <f t="shared" si="24"/>
        <v>0</v>
      </c>
    </row>
    <row r="131" spans="2:18" ht="19.5" customHeight="1">
      <c r="B131" s="231">
        <v>105</v>
      </c>
      <c r="C131" s="268"/>
      <c r="D131" s="292" t="s">
        <v>309</v>
      </c>
      <c r="E131" s="1681">
        <v>5456</v>
      </c>
      <c r="F131" s="237"/>
      <c r="G131" s="237"/>
      <c r="H131" s="237"/>
      <c r="I131" s="311">
        <f t="shared" si="23"/>
        <v>0</v>
      </c>
      <c r="J131" s="1150"/>
      <c r="K131" s="1615"/>
      <c r="L131" s="295"/>
      <c r="O131" s="238">
        <f t="shared" si="24"/>
        <v>0</v>
      </c>
      <c r="P131" s="238">
        <f t="shared" si="24"/>
        <v>0</v>
      </c>
      <c r="Q131" s="238">
        <f t="shared" si="24"/>
        <v>0</v>
      </c>
      <c r="R131" s="238">
        <f t="shared" si="24"/>
        <v>0</v>
      </c>
    </row>
    <row r="132" spans="2:19" ht="19.5" customHeight="1">
      <c r="B132" s="231">
        <v>106</v>
      </c>
      <c r="C132" s="268"/>
      <c r="D132" s="292" t="s">
        <v>320</v>
      </c>
      <c r="E132" s="1681">
        <v>5454</v>
      </c>
      <c r="F132" s="237"/>
      <c r="G132" s="237"/>
      <c r="H132" s="237"/>
      <c r="I132" s="311">
        <f t="shared" si="23"/>
        <v>0</v>
      </c>
      <c r="J132" s="1150"/>
      <c r="K132" s="1615"/>
      <c r="L132" s="272" t="str">
        <f>IF(J132&lt;0,ROUND(I132/J132,0)," ")</f>
        <v> </v>
      </c>
      <c r="O132" s="238">
        <f t="shared" si="24"/>
        <v>0</v>
      </c>
      <c r="P132" s="238">
        <f t="shared" si="24"/>
        <v>0</v>
      </c>
      <c r="Q132" s="238">
        <f t="shared" si="24"/>
        <v>0</v>
      </c>
      <c r="R132" s="238">
        <f t="shared" si="24"/>
        <v>0</v>
      </c>
      <c r="S132" s="273">
        <f>IF(ISTEXT(J132),0,ROUND(J132,0))</f>
        <v>0</v>
      </c>
    </row>
    <row r="133" spans="2:19" ht="19.5" customHeight="1">
      <c r="B133" s="231">
        <v>107</v>
      </c>
      <c r="C133" s="249"/>
      <c r="D133" s="280" t="s">
        <v>321</v>
      </c>
      <c r="E133" s="1684">
        <v>5458</v>
      </c>
      <c r="F133" s="237"/>
      <c r="G133" s="237"/>
      <c r="H133" s="237"/>
      <c r="I133" s="311">
        <f t="shared" si="23"/>
        <v>0</v>
      </c>
      <c r="J133" s="1150"/>
      <c r="K133" s="1615"/>
      <c r="L133" s="272" t="str">
        <f>IF(J133&lt;0,ROUND(I133/J133,0)," ")</f>
        <v> </v>
      </c>
      <c r="O133" s="238">
        <f t="shared" si="24"/>
        <v>0</v>
      </c>
      <c r="P133" s="238">
        <f t="shared" si="24"/>
        <v>0</v>
      </c>
      <c r="Q133" s="238">
        <f t="shared" si="24"/>
        <v>0</v>
      </c>
      <c r="R133" s="238">
        <f t="shared" si="24"/>
        <v>0</v>
      </c>
      <c r="S133" s="273">
        <f>IF(ISTEXT(J133),0,ROUND(J133,0))</f>
        <v>0</v>
      </c>
    </row>
    <row r="134" spans="2:18" ht="19.5" customHeight="1">
      <c r="B134" s="231">
        <v>108</v>
      </c>
      <c r="C134" s="249"/>
      <c r="D134" s="280" t="s">
        <v>322</v>
      </c>
      <c r="E134" s="1684">
        <v>5455</v>
      </c>
      <c r="F134" s="237"/>
      <c r="G134" s="237"/>
      <c r="H134" s="237"/>
      <c r="I134" s="311">
        <f t="shared" si="23"/>
        <v>0</v>
      </c>
      <c r="J134" s="1150"/>
      <c r="K134" s="1615"/>
      <c r="L134" s="295"/>
      <c r="O134" s="238">
        <f t="shared" si="24"/>
        <v>0</v>
      </c>
      <c r="P134" s="238">
        <f t="shared" si="24"/>
        <v>0</v>
      </c>
      <c r="Q134" s="238">
        <f t="shared" si="24"/>
        <v>0</v>
      </c>
      <c r="R134" s="238">
        <f t="shared" si="24"/>
        <v>0</v>
      </c>
    </row>
    <row r="135" spans="2:18" ht="19.5" customHeight="1">
      <c r="B135" s="231">
        <v>109</v>
      </c>
      <c r="C135" s="268"/>
      <c r="D135" s="313" t="s">
        <v>617</v>
      </c>
      <c r="E135" s="1681">
        <v>5453</v>
      </c>
      <c r="F135" s="237"/>
      <c r="G135" s="237"/>
      <c r="H135" s="237"/>
      <c r="I135" s="311">
        <f t="shared" si="23"/>
        <v>0</v>
      </c>
      <c r="J135" s="1150"/>
      <c r="K135" s="1615"/>
      <c r="L135" s="295"/>
      <c r="O135" s="238">
        <f t="shared" si="24"/>
        <v>0</v>
      </c>
      <c r="P135" s="238">
        <f t="shared" si="24"/>
        <v>0</v>
      </c>
      <c r="Q135" s="238">
        <f t="shared" si="24"/>
        <v>0</v>
      </c>
      <c r="R135" s="238">
        <f t="shared" si="24"/>
        <v>0</v>
      </c>
    </row>
    <row r="136" spans="2:19" ht="19.5" customHeight="1" thickBot="1">
      <c r="B136" s="231">
        <v>110</v>
      </c>
      <c r="C136" s="305" t="s">
        <v>323</v>
      </c>
      <c r="D136" s="283"/>
      <c r="E136" s="1706"/>
      <c r="F136" s="315">
        <f>O136</f>
        <v>0</v>
      </c>
      <c r="G136" s="315">
        <f>P136</f>
        <v>0</v>
      </c>
      <c r="H136" s="315">
        <f>Q136</f>
        <v>0</v>
      </c>
      <c r="I136" s="315">
        <f>R136</f>
        <v>0</v>
      </c>
      <c r="J136" s="1151"/>
      <c r="K136" s="1226"/>
      <c r="L136" s="295"/>
      <c r="O136" s="296">
        <f>ROUND(SUM(O129:O135),0)</f>
        <v>0</v>
      </c>
      <c r="P136" s="296">
        <f>ROUND(SUM(P129:P135),0)</f>
        <v>0</v>
      </c>
      <c r="Q136" s="296">
        <f>ROUND(SUM(Q129:Q135),0)</f>
        <v>0</v>
      </c>
      <c r="R136" s="296">
        <f>ROUND(SUM(R129:R135),0)</f>
        <v>0</v>
      </c>
      <c r="S136" s="297">
        <f>ROUND(SUM(S129:S135),0)</f>
        <v>0</v>
      </c>
    </row>
    <row r="137" spans="2:12" ht="18.75">
      <c r="B137" s="231">
        <v>111</v>
      </c>
      <c r="C137" s="1621" t="s">
        <v>326</v>
      </c>
      <c r="D137" s="1617"/>
      <c r="E137" s="1704"/>
      <c r="F137" s="1622"/>
      <c r="G137" s="1622"/>
      <c r="H137" s="1622"/>
      <c r="I137" s="1622"/>
      <c r="J137" s="1623"/>
      <c r="K137" s="1221"/>
      <c r="L137" s="309"/>
    </row>
    <row r="138" spans="2:19" ht="19.5" customHeight="1">
      <c r="B138" s="231">
        <v>112</v>
      </c>
      <c r="C138" s="268"/>
      <c r="D138" s="265" t="s">
        <v>318</v>
      </c>
      <c r="E138" s="1705">
        <v>5471</v>
      </c>
      <c r="F138" s="237"/>
      <c r="G138" s="237"/>
      <c r="H138" s="237"/>
      <c r="I138" s="311">
        <f aca="true" t="shared" si="25" ref="I138:I144">+F138+G138-H138</f>
        <v>0</v>
      </c>
      <c r="J138" s="312"/>
      <c r="K138" s="1615"/>
      <c r="L138" s="272" t="str">
        <f>IF(J138&lt;0,ROUND(I138/J138,0)," ")</f>
        <v> </v>
      </c>
      <c r="O138" s="238">
        <f aca="true" t="shared" si="26" ref="O138:R144">ROUND(F138,0)</f>
        <v>0</v>
      </c>
      <c r="P138" s="238">
        <f t="shared" si="26"/>
        <v>0</v>
      </c>
      <c r="Q138" s="238">
        <f t="shared" si="26"/>
        <v>0</v>
      </c>
      <c r="R138" s="238">
        <f t="shared" si="26"/>
        <v>0</v>
      </c>
      <c r="S138" s="273">
        <f>IF(ISTEXT(J138),0,ROUND(J138,0))</f>
        <v>0</v>
      </c>
    </row>
    <row r="139" spans="2:18" ht="19.5" customHeight="1">
      <c r="B139" s="231">
        <v>113</v>
      </c>
      <c r="C139" s="268"/>
      <c r="D139" s="265" t="s">
        <v>319</v>
      </c>
      <c r="E139" s="1681">
        <v>5477</v>
      </c>
      <c r="F139" s="237"/>
      <c r="G139" s="237"/>
      <c r="H139" s="237"/>
      <c r="I139" s="311">
        <f t="shared" si="25"/>
        <v>0</v>
      </c>
      <c r="J139" s="1150"/>
      <c r="K139" s="1615"/>
      <c r="L139" s="295"/>
      <c r="O139" s="238">
        <f t="shared" si="26"/>
        <v>0</v>
      </c>
      <c r="P139" s="238">
        <f t="shared" si="26"/>
        <v>0</v>
      </c>
      <c r="Q139" s="238">
        <f t="shared" si="26"/>
        <v>0</v>
      </c>
      <c r="R139" s="238">
        <f t="shared" si="26"/>
        <v>0</v>
      </c>
    </row>
    <row r="140" spans="2:18" ht="19.5" customHeight="1">
      <c r="B140" s="231">
        <v>114</v>
      </c>
      <c r="C140" s="268"/>
      <c r="D140" s="292" t="s">
        <v>309</v>
      </c>
      <c r="E140" s="1681">
        <v>5476</v>
      </c>
      <c r="F140" s="237"/>
      <c r="G140" s="237"/>
      <c r="H140" s="237"/>
      <c r="I140" s="311">
        <f t="shared" si="25"/>
        <v>0</v>
      </c>
      <c r="J140" s="1150"/>
      <c r="K140" s="1615"/>
      <c r="L140" s="295"/>
      <c r="O140" s="238">
        <f t="shared" si="26"/>
        <v>0</v>
      </c>
      <c r="P140" s="238">
        <f t="shared" si="26"/>
        <v>0</v>
      </c>
      <c r="Q140" s="238">
        <f t="shared" si="26"/>
        <v>0</v>
      </c>
      <c r="R140" s="238">
        <f t="shared" si="26"/>
        <v>0</v>
      </c>
    </row>
    <row r="141" spans="2:19" ht="19.5" customHeight="1">
      <c r="B141" s="231">
        <v>115</v>
      </c>
      <c r="C141" s="268"/>
      <c r="D141" s="292" t="s">
        <v>320</v>
      </c>
      <c r="E141" s="1681">
        <v>5474</v>
      </c>
      <c r="F141" s="237"/>
      <c r="G141" s="237"/>
      <c r="H141" s="237"/>
      <c r="I141" s="311">
        <f t="shared" si="25"/>
        <v>0</v>
      </c>
      <c r="J141" s="1150"/>
      <c r="K141" s="1615"/>
      <c r="L141" s="272" t="str">
        <f>IF(J141&lt;0,ROUND(I141/J141,0)," ")</f>
        <v> </v>
      </c>
      <c r="O141" s="238">
        <f t="shared" si="26"/>
        <v>0</v>
      </c>
      <c r="P141" s="238">
        <f t="shared" si="26"/>
        <v>0</v>
      </c>
      <c r="Q141" s="238">
        <f t="shared" si="26"/>
        <v>0</v>
      </c>
      <c r="R141" s="238">
        <f t="shared" si="26"/>
        <v>0</v>
      </c>
      <c r="S141" s="273">
        <f>IF(ISTEXT(J141),0,ROUND(J141,0))</f>
        <v>0</v>
      </c>
    </row>
    <row r="142" spans="2:19" ht="19.5" customHeight="1">
      <c r="B142" s="231">
        <v>116</v>
      </c>
      <c r="C142" s="249"/>
      <c r="D142" s="280" t="s">
        <v>321</v>
      </c>
      <c r="E142" s="1684">
        <v>5478</v>
      </c>
      <c r="F142" s="237"/>
      <c r="G142" s="237"/>
      <c r="H142" s="237"/>
      <c r="I142" s="311">
        <f t="shared" si="25"/>
        <v>0</v>
      </c>
      <c r="J142" s="1150"/>
      <c r="K142" s="1615"/>
      <c r="L142" s="272" t="str">
        <f>IF(J142&lt;0,ROUND(I142/J142,0)," ")</f>
        <v> </v>
      </c>
      <c r="O142" s="238">
        <f t="shared" si="26"/>
        <v>0</v>
      </c>
      <c r="P142" s="238">
        <f t="shared" si="26"/>
        <v>0</v>
      </c>
      <c r="Q142" s="238">
        <f t="shared" si="26"/>
        <v>0</v>
      </c>
      <c r="R142" s="238">
        <f t="shared" si="26"/>
        <v>0</v>
      </c>
      <c r="S142" s="273">
        <f>IF(ISTEXT(J142),0,ROUND(J142,0))</f>
        <v>0</v>
      </c>
    </row>
    <row r="143" spans="2:18" ht="19.5" customHeight="1">
      <c r="B143" s="231">
        <v>117</v>
      </c>
      <c r="C143" s="249"/>
      <c r="D143" s="280" t="s">
        <v>322</v>
      </c>
      <c r="E143" s="1684">
        <v>5475</v>
      </c>
      <c r="F143" s="237"/>
      <c r="G143" s="237"/>
      <c r="H143" s="237"/>
      <c r="I143" s="311">
        <f t="shared" si="25"/>
        <v>0</v>
      </c>
      <c r="J143" s="1150"/>
      <c r="K143" s="1615"/>
      <c r="L143" s="295"/>
      <c r="O143" s="238">
        <f t="shared" si="26"/>
        <v>0</v>
      </c>
      <c r="P143" s="238">
        <f t="shared" si="26"/>
        <v>0</v>
      </c>
      <c r="Q143" s="238">
        <f t="shared" si="26"/>
        <v>0</v>
      </c>
      <c r="R143" s="238">
        <f t="shared" si="26"/>
        <v>0</v>
      </c>
    </row>
    <row r="144" spans="2:18" ht="19.5" customHeight="1">
      <c r="B144" s="231">
        <v>118</v>
      </c>
      <c r="C144" s="268"/>
      <c r="D144" s="313" t="s">
        <v>671</v>
      </c>
      <c r="E144" s="1681">
        <v>5473</v>
      </c>
      <c r="F144" s="237"/>
      <c r="G144" s="237"/>
      <c r="H144" s="237"/>
      <c r="I144" s="311">
        <f t="shared" si="25"/>
        <v>0</v>
      </c>
      <c r="J144" s="1150"/>
      <c r="K144" s="1615"/>
      <c r="L144" s="295"/>
      <c r="O144" s="238">
        <f t="shared" si="26"/>
        <v>0</v>
      </c>
      <c r="P144" s="238">
        <f t="shared" si="26"/>
        <v>0</v>
      </c>
      <c r="Q144" s="238">
        <f t="shared" si="26"/>
        <v>0</v>
      </c>
      <c r="R144" s="238">
        <f t="shared" si="26"/>
        <v>0</v>
      </c>
    </row>
    <row r="145" spans="2:19" ht="19.5" customHeight="1" thickBot="1">
      <c r="B145" s="231">
        <v>119</v>
      </c>
      <c r="C145" s="305" t="s">
        <v>327</v>
      </c>
      <c r="D145" s="283"/>
      <c r="E145" s="1706"/>
      <c r="F145" s="315">
        <f>SUM(F138:F144)</f>
        <v>0</v>
      </c>
      <c r="G145" s="315">
        <f>SUM(G138:G144)</f>
        <v>0</v>
      </c>
      <c r="H145" s="315">
        <f>SUM(H138:H144)</f>
        <v>0</v>
      </c>
      <c r="I145" s="315">
        <f>SUM(I138:I144)</f>
        <v>0</v>
      </c>
      <c r="J145" s="1151"/>
      <c r="K145" s="1226"/>
      <c r="L145" s="295"/>
      <c r="O145" s="296">
        <f>ROUND(SUM(O138:O144),0)</f>
        <v>0</v>
      </c>
      <c r="P145" s="296">
        <f>ROUND(SUM(P138:P144),0)</f>
        <v>0</v>
      </c>
      <c r="Q145" s="296">
        <f>ROUND(SUM(Q138:Q144),0)</f>
        <v>0</v>
      </c>
      <c r="R145" s="296">
        <f>ROUND(SUM(R138:R144),0)</f>
        <v>0</v>
      </c>
      <c r="S145" s="297">
        <f>ROUND(SUM(S138:S144),0)</f>
        <v>0</v>
      </c>
    </row>
    <row r="146" spans="2:18" ht="27.75" customHeight="1">
      <c r="B146" s="231">
        <v>120</v>
      </c>
      <c r="C146" s="1880" t="s">
        <v>736</v>
      </c>
      <c r="D146" s="1881"/>
      <c r="E146" s="1707">
        <v>9903</v>
      </c>
      <c r="F146" s="302"/>
      <c r="G146" s="302"/>
      <c r="H146" s="302"/>
      <c r="I146" s="354">
        <f>+F146+G146-H146</f>
        <v>0</v>
      </c>
      <c r="J146" s="1152"/>
      <c r="K146" s="1225"/>
      <c r="L146" s="295"/>
      <c r="O146" s="238">
        <f>ROUND(F146,0)</f>
        <v>0</v>
      </c>
      <c r="P146" s="238">
        <f>ROUND(G146,0)</f>
        <v>0</v>
      </c>
      <c r="Q146" s="238">
        <f>ROUND(H146,0)</f>
        <v>0</v>
      </c>
      <c r="R146" s="238">
        <f>ROUND(I146,0)</f>
        <v>0</v>
      </c>
    </row>
    <row r="147" spans="2:19" ht="19.5" thickBot="1">
      <c r="B147" s="231">
        <v>121</v>
      </c>
      <c r="C147" s="1594" t="s">
        <v>706</v>
      </c>
      <c r="D147" s="1329"/>
      <c r="E147" s="1708">
        <v>9999</v>
      </c>
      <c r="F147" s="1636">
        <f>O147</f>
        <v>0</v>
      </c>
      <c r="G147" s="1636">
        <f>P147</f>
        <v>0</v>
      </c>
      <c r="H147" s="1636">
        <f>Q147</f>
        <v>0</v>
      </c>
      <c r="I147" s="1636">
        <f>R147</f>
        <v>0</v>
      </c>
      <c r="J147" s="1595">
        <f>S147</f>
        <v>0</v>
      </c>
      <c r="K147" s="1229"/>
      <c r="L147" s="295"/>
      <c r="O147" s="251">
        <f>O146+O145+O136+O127+O124+O123</f>
        <v>0</v>
      </c>
      <c r="P147" s="251">
        <f>P146+P145+P136+P127+P124+P123</f>
        <v>0</v>
      </c>
      <c r="Q147" s="251">
        <f>Q146+Q145+Q136+Q127+Q124+Q123</f>
        <v>0</v>
      </c>
      <c r="R147" s="251">
        <f>R146+R145+R136+R127+R124+R123</f>
        <v>0</v>
      </c>
      <c r="S147" s="251">
        <f>S146+S145+S136+S127+S124+S123</f>
        <v>0</v>
      </c>
    </row>
    <row r="148" spans="2:18" s="252" customFormat="1" ht="12" customHeight="1">
      <c r="B148" s="356"/>
      <c r="C148" s="358"/>
      <c r="D148" s="208"/>
      <c r="E148" s="1709"/>
      <c r="F148" s="360"/>
      <c r="G148" s="360"/>
      <c r="H148" s="360"/>
      <c r="I148" s="360"/>
      <c r="J148" s="1410"/>
      <c r="K148" s="1534"/>
      <c r="L148" s="1558"/>
      <c r="O148" s="253"/>
      <c r="P148" s="253"/>
      <c r="Q148" s="253"/>
      <c r="R148" s="253"/>
    </row>
    <row r="149" spans="3:12" ht="19.5" customHeight="1">
      <c r="C149" s="206" t="s">
        <v>265</v>
      </c>
      <c r="D149" s="922">
        <f>+$D$1</f>
        <v>0</v>
      </c>
      <c r="E149" s="209"/>
      <c r="L149" s="285"/>
    </row>
    <row r="150" spans="3:5" ht="19.5" customHeight="1">
      <c r="C150" s="206" t="s">
        <v>266</v>
      </c>
      <c r="D150" s="207">
        <f>+$D$2</f>
        <v>0</v>
      </c>
      <c r="E150" s="209" t="str">
        <f>Schedule_A!A3</f>
        <v>NURSING FACILITY 2019 COST REPORT</v>
      </c>
    </row>
    <row r="151" spans="3:5" ht="15.75">
      <c r="C151" s="206"/>
      <c r="D151" s="210"/>
      <c r="E151" s="1691"/>
    </row>
    <row r="152" spans="1:12" ht="18">
      <c r="A152" s="211" t="s">
        <v>198</v>
      </c>
      <c r="B152" s="212"/>
      <c r="C152" s="212"/>
      <c r="D152" s="212"/>
      <c r="E152" s="1692"/>
      <c r="F152" s="212"/>
      <c r="G152" s="212"/>
      <c r="H152" s="212"/>
      <c r="I152" s="212"/>
      <c r="J152" s="401"/>
      <c r="L152" s="212"/>
    </row>
    <row r="153" spans="1:18" s="1592" customFormat="1" ht="24" thickBot="1">
      <c r="A153" s="1548" t="s">
        <v>699</v>
      </c>
      <c r="B153" s="1548"/>
      <c r="C153" s="1548"/>
      <c r="D153" s="1548"/>
      <c r="E153" s="1700"/>
      <c r="F153" s="1548"/>
      <c r="G153" s="1548"/>
      <c r="H153" s="1548"/>
      <c r="I153" s="1548"/>
      <c r="J153" s="1589"/>
      <c r="K153" s="1590"/>
      <c r="L153" s="1548"/>
      <c r="O153" s="1593"/>
      <c r="P153" s="1593"/>
      <c r="Q153" s="1593"/>
      <c r="R153" s="1593"/>
    </row>
    <row r="154" spans="1:12" ht="63">
      <c r="A154" s="213"/>
      <c r="B154" s="256" t="s">
        <v>200</v>
      </c>
      <c r="C154" s="215"/>
      <c r="D154" s="216"/>
      <c r="E154" s="1677" t="s">
        <v>464</v>
      </c>
      <c r="F154" s="217" t="s">
        <v>193</v>
      </c>
      <c r="G154" s="218" t="s">
        <v>468</v>
      </c>
      <c r="H154" s="219"/>
      <c r="I154" s="257" t="s">
        <v>201</v>
      </c>
      <c r="J154" s="1092"/>
      <c r="K154" s="1085" t="s">
        <v>202</v>
      </c>
      <c r="L154" s="258"/>
    </row>
    <row r="155" spans="1:12" ht="15.75">
      <c r="A155" s="213"/>
      <c r="B155" s="221" t="s">
        <v>203</v>
      </c>
      <c r="C155" s="222" t="s">
        <v>464</v>
      </c>
      <c r="D155" s="223"/>
      <c r="E155" s="1678" t="s">
        <v>204</v>
      </c>
      <c r="F155" s="224" t="s">
        <v>205</v>
      </c>
      <c r="G155" s="224" t="s">
        <v>471</v>
      </c>
      <c r="H155" s="224" t="s">
        <v>472</v>
      </c>
      <c r="I155" s="260" t="s">
        <v>193</v>
      </c>
      <c r="J155" s="1093" t="s">
        <v>144</v>
      </c>
      <c r="K155" s="260"/>
      <c r="L155" s="261"/>
    </row>
    <row r="156" spans="1:12" ht="15.75">
      <c r="A156" s="213"/>
      <c r="B156" s="226"/>
      <c r="C156" s="227"/>
      <c r="D156" s="228"/>
      <c r="E156" s="1679" t="s">
        <v>473</v>
      </c>
      <c r="F156" s="229" t="s">
        <v>474</v>
      </c>
      <c r="G156" s="229" t="s">
        <v>475</v>
      </c>
      <c r="H156" s="229" t="s">
        <v>476</v>
      </c>
      <c r="I156" s="229" t="s">
        <v>477</v>
      </c>
      <c r="J156" s="1094" t="s">
        <v>478</v>
      </c>
      <c r="K156" s="262" t="s">
        <v>479</v>
      </c>
      <c r="L156" s="263"/>
    </row>
    <row r="157" spans="2:12" ht="18.75">
      <c r="B157" s="231">
        <v>122</v>
      </c>
      <c r="C157" s="319" t="s">
        <v>328</v>
      </c>
      <c r="D157" s="265"/>
      <c r="E157" s="1674"/>
      <c r="F157" s="287"/>
      <c r="G157" s="287"/>
      <c r="H157" s="287"/>
      <c r="I157" s="287"/>
      <c r="J157" s="1146"/>
      <c r="K157" s="1218"/>
      <c r="L157" s="289"/>
    </row>
    <row r="158" spans="2:12" ht="15.75">
      <c r="B158" s="231">
        <v>123</v>
      </c>
      <c r="C158" s="320" t="s">
        <v>329</v>
      </c>
      <c r="D158" s="265"/>
      <c r="E158" s="1674"/>
      <c r="F158" s="287"/>
      <c r="G158" s="287"/>
      <c r="H158" s="287"/>
      <c r="I158" s="287"/>
      <c r="J158" s="1146"/>
      <c r="K158" s="1218"/>
      <c r="L158" s="289"/>
    </row>
    <row r="159" spans="2:19" ht="19.5" customHeight="1">
      <c r="B159" s="231">
        <v>124</v>
      </c>
      <c r="C159" s="268"/>
      <c r="D159" s="265" t="s">
        <v>330</v>
      </c>
      <c r="E159" s="1710">
        <v>5411.4</v>
      </c>
      <c r="F159" s="237"/>
      <c r="G159" s="237"/>
      <c r="H159" s="237"/>
      <c r="I159" s="311">
        <f aca="true" t="shared" si="27" ref="I159:I165">+F159+G159-H159</f>
        <v>0</v>
      </c>
      <c r="J159" s="312"/>
      <c r="K159" s="1222"/>
      <c r="L159" s="272" t="str">
        <f aca="true" t="shared" si="28" ref="L159:L165">IF(J159&lt;0,ROUND(I159/J159,0)," ")</f>
        <v> </v>
      </c>
      <c r="O159" s="238">
        <f aca="true" t="shared" si="29" ref="O159:R165">ROUND(F159,0)</f>
        <v>0</v>
      </c>
      <c r="P159" s="238">
        <f t="shared" si="29"/>
        <v>0</v>
      </c>
      <c r="Q159" s="238">
        <f t="shared" si="29"/>
        <v>0</v>
      </c>
      <c r="R159" s="238">
        <f t="shared" si="29"/>
        <v>0</v>
      </c>
      <c r="S159" s="273">
        <f aca="true" t="shared" si="30" ref="S159:S165">IF(ISTEXT(J159),0,ROUND(J159,0))</f>
        <v>0</v>
      </c>
    </row>
    <row r="160" spans="2:19" ht="19.5" customHeight="1">
      <c r="B160" s="231">
        <v>125</v>
      </c>
      <c r="C160" s="268"/>
      <c r="D160" s="265" t="s">
        <v>331</v>
      </c>
      <c r="E160" s="1681">
        <v>5411.41</v>
      </c>
      <c r="F160" s="237"/>
      <c r="G160" s="237"/>
      <c r="H160" s="237"/>
      <c r="I160" s="311">
        <f t="shared" si="27"/>
        <v>0</v>
      </c>
      <c r="J160" s="312"/>
      <c r="K160" s="1222"/>
      <c r="L160" s="272" t="str">
        <f t="shared" si="28"/>
        <v> </v>
      </c>
      <c r="O160" s="238">
        <f t="shared" si="29"/>
        <v>0</v>
      </c>
      <c r="P160" s="238">
        <f t="shared" si="29"/>
        <v>0</v>
      </c>
      <c r="Q160" s="238">
        <f t="shared" si="29"/>
        <v>0</v>
      </c>
      <c r="R160" s="238">
        <f t="shared" si="29"/>
        <v>0</v>
      </c>
      <c r="S160" s="273">
        <f t="shared" si="30"/>
        <v>0</v>
      </c>
    </row>
    <row r="161" spans="2:19" ht="19.5" customHeight="1">
      <c r="B161" s="231">
        <v>126</v>
      </c>
      <c r="C161" s="268"/>
      <c r="D161" s="292" t="s">
        <v>332</v>
      </c>
      <c r="E161" s="1681">
        <v>5411.42</v>
      </c>
      <c r="F161" s="237"/>
      <c r="G161" s="237"/>
      <c r="H161" s="237"/>
      <c r="I161" s="311">
        <f t="shared" si="27"/>
        <v>0</v>
      </c>
      <c r="J161" s="312"/>
      <c r="K161" s="1222"/>
      <c r="L161" s="272" t="str">
        <f t="shared" si="28"/>
        <v> </v>
      </c>
      <c r="O161" s="238">
        <f t="shared" si="29"/>
        <v>0</v>
      </c>
      <c r="P161" s="238">
        <f t="shared" si="29"/>
        <v>0</v>
      </c>
      <c r="Q161" s="238">
        <f t="shared" si="29"/>
        <v>0</v>
      </c>
      <c r="R161" s="238">
        <f t="shared" si="29"/>
        <v>0</v>
      </c>
      <c r="S161" s="273">
        <f t="shared" si="30"/>
        <v>0</v>
      </c>
    </row>
    <row r="162" spans="2:19" ht="19.5" customHeight="1">
      <c r="B162" s="231">
        <v>127</v>
      </c>
      <c r="C162" s="268"/>
      <c r="D162" s="298" t="s">
        <v>333</v>
      </c>
      <c r="E162" s="1681">
        <v>5411.43</v>
      </c>
      <c r="F162" s="237"/>
      <c r="G162" s="237"/>
      <c r="H162" s="237"/>
      <c r="I162" s="311">
        <f t="shared" si="27"/>
        <v>0</v>
      </c>
      <c r="J162" s="312"/>
      <c r="K162" s="1222"/>
      <c r="L162" s="272" t="str">
        <f t="shared" si="28"/>
        <v> </v>
      </c>
      <c r="O162" s="238">
        <f t="shared" si="29"/>
        <v>0</v>
      </c>
      <c r="P162" s="238">
        <f t="shared" si="29"/>
        <v>0</v>
      </c>
      <c r="Q162" s="238">
        <f t="shared" si="29"/>
        <v>0</v>
      </c>
      <c r="R162" s="238">
        <f t="shared" si="29"/>
        <v>0</v>
      </c>
      <c r="S162" s="273">
        <f t="shared" si="30"/>
        <v>0</v>
      </c>
    </row>
    <row r="163" spans="2:19" ht="19.5" customHeight="1">
      <c r="B163" s="231">
        <v>128</v>
      </c>
      <c r="C163" s="268"/>
      <c r="D163" s="265" t="s">
        <v>334</v>
      </c>
      <c r="E163" s="1681">
        <v>5411.45</v>
      </c>
      <c r="F163" s="237"/>
      <c r="G163" s="237"/>
      <c r="H163" s="237"/>
      <c r="I163" s="311">
        <f t="shared" si="27"/>
        <v>0</v>
      </c>
      <c r="J163" s="312"/>
      <c r="K163" s="1222"/>
      <c r="L163" s="272" t="str">
        <f t="shared" si="28"/>
        <v> </v>
      </c>
      <c r="O163" s="238">
        <f t="shared" si="29"/>
        <v>0</v>
      </c>
      <c r="P163" s="238">
        <f t="shared" si="29"/>
        <v>0</v>
      </c>
      <c r="Q163" s="238">
        <f t="shared" si="29"/>
        <v>0</v>
      </c>
      <c r="R163" s="238">
        <f t="shared" si="29"/>
        <v>0</v>
      </c>
      <c r="S163" s="273">
        <f t="shared" si="30"/>
        <v>0</v>
      </c>
    </row>
    <row r="164" spans="2:19" ht="19.5" customHeight="1">
      <c r="B164" s="231">
        <v>129</v>
      </c>
      <c r="C164" s="268"/>
      <c r="D164" s="293" t="s">
        <v>335</v>
      </c>
      <c r="E164" s="1681">
        <v>5411.46</v>
      </c>
      <c r="F164" s="237"/>
      <c r="G164" s="237"/>
      <c r="H164" s="237"/>
      <c r="I164" s="311">
        <f t="shared" si="27"/>
        <v>0</v>
      </c>
      <c r="J164" s="312"/>
      <c r="K164" s="1222"/>
      <c r="L164" s="272" t="str">
        <f t="shared" si="28"/>
        <v> </v>
      </c>
      <c r="O164" s="238">
        <f t="shared" si="29"/>
        <v>0</v>
      </c>
      <c r="P164" s="238">
        <f t="shared" si="29"/>
        <v>0</v>
      </c>
      <c r="Q164" s="238">
        <f t="shared" si="29"/>
        <v>0</v>
      </c>
      <c r="R164" s="238">
        <f t="shared" si="29"/>
        <v>0</v>
      </c>
      <c r="S164" s="273">
        <f t="shared" si="30"/>
        <v>0</v>
      </c>
    </row>
    <row r="165" spans="2:19" ht="19.5" customHeight="1">
      <c r="B165" s="231">
        <v>130</v>
      </c>
      <c r="C165" s="268"/>
      <c r="D165" s="293" t="s">
        <v>311</v>
      </c>
      <c r="E165" s="1681">
        <v>5411.51</v>
      </c>
      <c r="F165" s="237"/>
      <c r="G165" s="237"/>
      <c r="H165" s="237"/>
      <c r="I165" s="311">
        <f t="shared" si="27"/>
        <v>0</v>
      </c>
      <c r="J165" s="312"/>
      <c r="K165" s="1222"/>
      <c r="L165" s="272" t="str">
        <f t="shared" si="28"/>
        <v> </v>
      </c>
      <c r="O165" s="238">
        <f t="shared" si="29"/>
        <v>0</v>
      </c>
      <c r="P165" s="238">
        <f t="shared" si="29"/>
        <v>0</v>
      </c>
      <c r="Q165" s="238">
        <f t="shared" si="29"/>
        <v>0</v>
      </c>
      <c r="R165" s="238">
        <f t="shared" si="29"/>
        <v>0</v>
      </c>
      <c r="S165" s="273">
        <f t="shared" si="30"/>
        <v>0</v>
      </c>
    </row>
    <row r="166" spans="2:19" ht="19.5" customHeight="1">
      <c r="B166" s="231">
        <v>131</v>
      </c>
      <c r="C166" s="281" t="s">
        <v>336</v>
      </c>
      <c r="D166" s="265"/>
      <c r="E166" s="1682"/>
      <c r="F166" s="241">
        <f>O166</f>
        <v>0</v>
      </c>
      <c r="G166" s="241">
        <f>P166</f>
        <v>0</v>
      </c>
      <c r="H166" s="241">
        <f>Q166</f>
        <v>0</v>
      </c>
      <c r="I166" s="311">
        <f>R166</f>
        <v>0</v>
      </c>
      <c r="J166" s="322">
        <f>S166</f>
        <v>0</v>
      </c>
      <c r="K166" s="1227"/>
      <c r="L166" s="323"/>
      <c r="O166" s="251">
        <f>ROUND(SUM(O159+O160+O161+O162+O163+O164+O165),0)</f>
        <v>0</v>
      </c>
      <c r="P166" s="251">
        <f>ROUND(SUM(P159+P160+P161+P162+P163+P164+P165),0)</f>
        <v>0</v>
      </c>
      <c r="Q166" s="251">
        <f>ROUND(SUM(Q159+Q160+Q161+Q162+Q163+Q164+Q165),0)</f>
        <v>0</v>
      </c>
      <c r="R166" s="251">
        <f>ROUND(SUM(R159+R160+R161+R162+R163+R164+R165),0)</f>
        <v>0</v>
      </c>
      <c r="S166" s="317">
        <f>ROUND(SUM(S159+S160+S161+S162+S163+S164+S165),0)</f>
        <v>0</v>
      </c>
    </row>
    <row r="167" spans="2:18" ht="15.75">
      <c r="B167" s="231">
        <v>132</v>
      </c>
      <c r="C167" s="324" t="s">
        <v>506</v>
      </c>
      <c r="E167" s="1711">
        <v>5412.2</v>
      </c>
      <c r="F167" s="302"/>
      <c r="G167" s="302"/>
      <c r="H167" s="302"/>
      <c r="I167" s="250">
        <f>+F167+G167-H167</f>
        <v>0</v>
      </c>
      <c r="J167" s="1152"/>
      <c r="K167" s="1228"/>
      <c r="L167" s="295"/>
      <c r="O167" s="238">
        <f>ROUND(F167,0)</f>
        <v>0</v>
      </c>
      <c r="P167" s="238">
        <f>ROUND(G167,0)</f>
        <v>0</v>
      </c>
      <c r="Q167" s="238">
        <f>ROUND(H167,0)</f>
        <v>0</v>
      </c>
      <c r="R167" s="238">
        <f>ROUND(I167,0)</f>
        <v>0</v>
      </c>
    </row>
    <row r="168" spans="2:18" s="252" customFormat="1" ht="15.75">
      <c r="B168" s="231">
        <v>133</v>
      </c>
      <c r="C168" s="325" t="s">
        <v>507</v>
      </c>
      <c r="D168" s="265"/>
      <c r="E168" s="1712"/>
      <c r="F168" s="326"/>
      <c r="G168" s="326"/>
      <c r="H168" s="326"/>
      <c r="I168" s="241"/>
      <c r="J168" s="1153"/>
      <c r="K168" s="1222"/>
      <c r="L168" s="327"/>
      <c r="O168" s="253"/>
      <c r="P168" s="253"/>
      <c r="Q168" s="253"/>
      <c r="R168" s="253"/>
    </row>
    <row r="169" spans="2:18" ht="15.75">
      <c r="B169" s="231">
        <v>134</v>
      </c>
      <c r="C169" s="324" t="s">
        <v>506</v>
      </c>
      <c r="E169" s="1711">
        <v>5412.3</v>
      </c>
      <c r="F169" s="302"/>
      <c r="G169" s="302"/>
      <c r="H169" s="302"/>
      <c r="I169" s="250">
        <f>+F169+G169-H169</f>
        <v>0</v>
      </c>
      <c r="J169" s="1152"/>
      <c r="K169" s="1228"/>
      <c r="L169" s="295"/>
      <c r="O169" s="238">
        <f>ROUND(F169,0)</f>
        <v>0</v>
      </c>
      <c r="P169" s="238">
        <f>ROUND(G169,0)</f>
        <v>0</v>
      </c>
      <c r="Q169" s="238">
        <f>ROUND(H169,0)</f>
        <v>0</v>
      </c>
      <c r="R169" s="238">
        <f>ROUND(I169,0)</f>
        <v>0</v>
      </c>
    </row>
    <row r="170" spans="2:18" s="252" customFormat="1" ht="15.75">
      <c r="B170" s="231">
        <v>135</v>
      </c>
      <c r="C170" s="325" t="s">
        <v>508</v>
      </c>
      <c r="D170" s="265"/>
      <c r="E170" s="1712"/>
      <c r="F170" s="326"/>
      <c r="G170" s="326"/>
      <c r="H170" s="326"/>
      <c r="I170" s="250"/>
      <c r="J170" s="1153"/>
      <c r="K170" s="1222"/>
      <c r="L170" s="327"/>
      <c r="O170" s="253"/>
      <c r="P170" s="253"/>
      <c r="Q170" s="253"/>
      <c r="R170" s="253"/>
    </row>
    <row r="171" spans="2:18" s="252" customFormat="1" ht="19.5" customHeight="1">
      <c r="B171" s="231">
        <v>136</v>
      </c>
      <c r="C171" s="328" t="s">
        <v>308</v>
      </c>
      <c r="D171" s="265"/>
      <c r="E171" s="1713">
        <v>5418</v>
      </c>
      <c r="F171" s="329"/>
      <c r="G171" s="329"/>
      <c r="H171" s="329"/>
      <c r="I171" s="311">
        <f>+F171+G171-H171</f>
        <v>0</v>
      </c>
      <c r="J171" s="1154"/>
      <c r="K171" s="1222"/>
      <c r="L171" s="323"/>
      <c r="O171" s="238">
        <f aca="true" t="shared" si="31" ref="O171:R173">ROUND(F171,0)</f>
        <v>0</v>
      </c>
      <c r="P171" s="238">
        <f t="shared" si="31"/>
        <v>0</v>
      </c>
      <c r="Q171" s="238">
        <f t="shared" si="31"/>
        <v>0</v>
      </c>
      <c r="R171" s="238">
        <f t="shared" si="31"/>
        <v>0</v>
      </c>
    </row>
    <row r="172" spans="2:18" ht="19.5" customHeight="1">
      <c r="B172" s="231">
        <v>137</v>
      </c>
      <c r="C172" s="265" t="s">
        <v>509</v>
      </c>
      <c r="D172" s="265"/>
      <c r="E172" s="1714">
        <v>5416</v>
      </c>
      <c r="F172" s="237"/>
      <c r="G172" s="237"/>
      <c r="H172" s="237"/>
      <c r="I172" s="311">
        <f>+F172+G172-H172</f>
        <v>0</v>
      </c>
      <c r="J172" s="1154"/>
      <c r="K172" s="1222"/>
      <c r="L172" s="323"/>
      <c r="O172" s="238">
        <f t="shared" si="31"/>
        <v>0</v>
      </c>
      <c r="P172" s="238">
        <f t="shared" si="31"/>
        <v>0</v>
      </c>
      <c r="Q172" s="238">
        <f t="shared" si="31"/>
        <v>0</v>
      </c>
      <c r="R172" s="238">
        <f t="shared" si="31"/>
        <v>0</v>
      </c>
    </row>
    <row r="173" spans="2:18" ht="19.5" customHeight="1">
      <c r="B173" s="231">
        <v>138</v>
      </c>
      <c r="C173" s="280" t="s">
        <v>510</v>
      </c>
      <c r="D173" s="265"/>
      <c r="E173" s="1681">
        <v>5413</v>
      </c>
      <c r="F173" s="237"/>
      <c r="G173" s="237"/>
      <c r="H173" s="237"/>
      <c r="I173" s="311">
        <f>+F173+G173-H173</f>
        <v>0</v>
      </c>
      <c r="J173" s="1150"/>
      <c r="K173" s="1222"/>
      <c r="L173" s="295"/>
      <c r="O173" s="238">
        <f t="shared" si="31"/>
        <v>0</v>
      </c>
      <c r="P173" s="238">
        <f t="shared" si="31"/>
        <v>0</v>
      </c>
      <c r="Q173" s="238">
        <f t="shared" si="31"/>
        <v>0</v>
      </c>
      <c r="R173" s="238">
        <f t="shared" si="31"/>
        <v>0</v>
      </c>
    </row>
    <row r="174" spans="2:12" ht="19.5" customHeight="1">
      <c r="B174" s="231">
        <v>139</v>
      </c>
      <c r="C174" s="330" t="s">
        <v>310</v>
      </c>
      <c r="D174" s="265"/>
      <c r="E174" s="1682"/>
      <c r="F174" s="242"/>
      <c r="G174" s="242"/>
      <c r="H174" s="242"/>
      <c r="I174" s="242"/>
      <c r="J174" s="1150"/>
      <c r="K174" s="1222"/>
      <c r="L174" s="295"/>
    </row>
    <row r="175" spans="2:19" ht="19.5" customHeight="1">
      <c r="B175" s="231">
        <v>140</v>
      </c>
      <c r="C175" s="268"/>
      <c r="D175" s="265" t="s">
        <v>330</v>
      </c>
      <c r="E175" s="1697">
        <v>5414.4</v>
      </c>
      <c r="F175" s="237"/>
      <c r="G175" s="237"/>
      <c r="H175" s="237"/>
      <c r="I175" s="311">
        <f aca="true" t="shared" si="32" ref="I175:I181">+F175+G175-H175</f>
        <v>0</v>
      </c>
      <c r="J175" s="1150"/>
      <c r="K175" s="1222"/>
      <c r="L175" s="272" t="str">
        <f aca="true" t="shared" si="33" ref="L175:L181">IF(J175&lt;0,ROUND(I175/J175,0)," ")</f>
        <v> </v>
      </c>
      <c r="O175" s="238">
        <f aca="true" t="shared" si="34" ref="O175:R181">ROUND(F175,0)</f>
        <v>0</v>
      </c>
      <c r="P175" s="238">
        <f t="shared" si="34"/>
        <v>0</v>
      </c>
      <c r="Q175" s="238">
        <f t="shared" si="34"/>
        <v>0</v>
      </c>
      <c r="R175" s="238">
        <f t="shared" si="34"/>
        <v>0</v>
      </c>
      <c r="S175" s="273">
        <f aca="true" t="shared" si="35" ref="S175:S181">IF(ISTEXT(J175),0,ROUND(J175,0))</f>
        <v>0</v>
      </c>
    </row>
    <row r="176" spans="2:19" ht="19.5" customHeight="1">
      <c r="B176" s="231">
        <v>141</v>
      </c>
      <c r="C176" s="268"/>
      <c r="D176" s="265" t="s">
        <v>331</v>
      </c>
      <c r="E176" s="1681">
        <v>5414.41</v>
      </c>
      <c r="F176" s="237"/>
      <c r="G176" s="237"/>
      <c r="H176" s="237"/>
      <c r="I176" s="311">
        <f t="shared" si="32"/>
        <v>0</v>
      </c>
      <c r="J176" s="1150"/>
      <c r="K176" s="1222"/>
      <c r="L176" s="272" t="str">
        <f t="shared" si="33"/>
        <v> </v>
      </c>
      <c r="O176" s="238">
        <f t="shared" si="34"/>
        <v>0</v>
      </c>
      <c r="P176" s="238">
        <f t="shared" si="34"/>
        <v>0</v>
      </c>
      <c r="Q176" s="238">
        <f t="shared" si="34"/>
        <v>0</v>
      </c>
      <c r="R176" s="238">
        <f t="shared" si="34"/>
        <v>0</v>
      </c>
      <c r="S176" s="273">
        <f t="shared" si="35"/>
        <v>0</v>
      </c>
    </row>
    <row r="177" spans="2:19" ht="19.5" customHeight="1">
      <c r="B177" s="231">
        <v>142</v>
      </c>
      <c r="C177" s="268"/>
      <c r="D177" s="265" t="s">
        <v>511</v>
      </c>
      <c r="E177" s="1681">
        <v>5414.42</v>
      </c>
      <c r="F177" s="237"/>
      <c r="G177" s="237"/>
      <c r="H177" s="237"/>
      <c r="I177" s="311">
        <f t="shared" si="32"/>
        <v>0</v>
      </c>
      <c r="J177" s="1150"/>
      <c r="K177" s="1222"/>
      <c r="L177" s="272" t="str">
        <f t="shared" si="33"/>
        <v> </v>
      </c>
      <c r="O177" s="238">
        <f t="shared" si="34"/>
        <v>0</v>
      </c>
      <c r="P177" s="238">
        <f t="shared" si="34"/>
        <v>0</v>
      </c>
      <c r="Q177" s="238">
        <f t="shared" si="34"/>
        <v>0</v>
      </c>
      <c r="R177" s="238">
        <f t="shared" si="34"/>
        <v>0</v>
      </c>
      <c r="S177" s="273">
        <f t="shared" si="35"/>
        <v>0</v>
      </c>
    </row>
    <row r="178" spans="2:19" ht="19.5" customHeight="1">
      <c r="B178" s="231">
        <v>143</v>
      </c>
      <c r="C178" s="268"/>
      <c r="D178" s="298" t="s">
        <v>333</v>
      </c>
      <c r="E178" s="1681">
        <v>5414.43</v>
      </c>
      <c r="F178" s="237"/>
      <c r="G178" s="237"/>
      <c r="H178" s="237"/>
      <c r="I178" s="311">
        <f t="shared" si="32"/>
        <v>0</v>
      </c>
      <c r="J178" s="1150"/>
      <c r="K178" s="1222"/>
      <c r="L178" s="272" t="str">
        <f t="shared" si="33"/>
        <v> </v>
      </c>
      <c r="O178" s="238">
        <f t="shared" si="34"/>
        <v>0</v>
      </c>
      <c r="P178" s="238">
        <f t="shared" si="34"/>
        <v>0</v>
      </c>
      <c r="Q178" s="238">
        <f t="shared" si="34"/>
        <v>0</v>
      </c>
      <c r="R178" s="238">
        <f t="shared" si="34"/>
        <v>0</v>
      </c>
      <c r="S178" s="273">
        <f t="shared" si="35"/>
        <v>0</v>
      </c>
    </row>
    <row r="179" spans="2:19" ht="19.5" customHeight="1">
      <c r="B179" s="231">
        <v>144</v>
      </c>
      <c r="C179" s="268"/>
      <c r="D179" s="265" t="s">
        <v>334</v>
      </c>
      <c r="E179" s="1681">
        <v>5414.45</v>
      </c>
      <c r="F179" s="237"/>
      <c r="G179" s="237"/>
      <c r="H179" s="237"/>
      <c r="I179" s="311">
        <f t="shared" si="32"/>
        <v>0</v>
      </c>
      <c r="J179" s="1150"/>
      <c r="K179" s="1222"/>
      <c r="L179" s="272" t="str">
        <f t="shared" si="33"/>
        <v> </v>
      </c>
      <c r="O179" s="238">
        <f t="shared" si="34"/>
        <v>0</v>
      </c>
      <c r="P179" s="238">
        <f t="shared" si="34"/>
        <v>0</v>
      </c>
      <c r="Q179" s="238">
        <f t="shared" si="34"/>
        <v>0</v>
      </c>
      <c r="R179" s="238">
        <f t="shared" si="34"/>
        <v>0</v>
      </c>
      <c r="S179" s="273">
        <f t="shared" si="35"/>
        <v>0</v>
      </c>
    </row>
    <row r="180" spans="2:19" ht="19.5" customHeight="1">
      <c r="B180" s="231">
        <v>145</v>
      </c>
      <c r="C180" s="268"/>
      <c r="D180" s="293" t="s">
        <v>335</v>
      </c>
      <c r="E180" s="1681">
        <v>5414.46</v>
      </c>
      <c r="F180" s="237"/>
      <c r="G180" s="237"/>
      <c r="H180" s="237"/>
      <c r="I180" s="311">
        <f t="shared" si="32"/>
        <v>0</v>
      </c>
      <c r="J180" s="1150"/>
      <c r="K180" s="1222"/>
      <c r="L180" s="272" t="str">
        <f t="shared" si="33"/>
        <v> </v>
      </c>
      <c r="O180" s="238">
        <f t="shared" si="34"/>
        <v>0</v>
      </c>
      <c r="P180" s="238">
        <f t="shared" si="34"/>
        <v>0</v>
      </c>
      <c r="Q180" s="238">
        <f t="shared" si="34"/>
        <v>0</v>
      </c>
      <c r="R180" s="238">
        <f t="shared" si="34"/>
        <v>0</v>
      </c>
      <c r="S180" s="273">
        <f t="shared" si="35"/>
        <v>0</v>
      </c>
    </row>
    <row r="181" spans="2:19" ht="19.5" customHeight="1">
      <c r="B181" s="231">
        <v>146</v>
      </c>
      <c r="C181" s="268"/>
      <c r="D181" s="293" t="s">
        <v>311</v>
      </c>
      <c r="E181" s="1697">
        <v>5414.5</v>
      </c>
      <c r="F181" s="237"/>
      <c r="G181" s="237"/>
      <c r="H181" s="237"/>
      <c r="I181" s="311">
        <f t="shared" si="32"/>
        <v>0</v>
      </c>
      <c r="J181" s="1150"/>
      <c r="K181" s="1222"/>
      <c r="L181" s="272" t="str">
        <f t="shared" si="33"/>
        <v> </v>
      </c>
      <c r="O181" s="238">
        <f t="shared" si="34"/>
        <v>0</v>
      </c>
      <c r="P181" s="238">
        <f t="shared" si="34"/>
        <v>0</v>
      </c>
      <c r="Q181" s="238">
        <f t="shared" si="34"/>
        <v>0</v>
      </c>
      <c r="R181" s="238">
        <f t="shared" si="34"/>
        <v>0</v>
      </c>
      <c r="S181" s="273">
        <f t="shared" si="35"/>
        <v>0</v>
      </c>
    </row>
    <row r="182" spans="2:19" ht="19.5" customHeight="1" thickBot="1">
      <c r="B182" s="231">
        <v>147</v>
      </c>
      <c r="C182" s="305" t="s">
        <v>312</v>
      </c>
      <c r="D182" s="331"/>
      <c r="E182" s="1715"/>
      <c r="F182" s="315">
        <f>O182</f>
        <v>0</v>
      </c>
      <c r="G182" s="315">
        <f>P182</f>
        <v>0</v>
      </c>
      <c r="H182" s="315">
        <f>Q182</f>
        <v>0</v>
      </c>
      <c r="I182" s="315">
        <f>R182</f>
        <v>0</v>
      </c>
      <c r="J182" s="1151"/>
      <c r="K182" s="1229"/>
      <c r="L182" s="295"/>
      <c r="O182" s="296">
        <f>ROUND(SUM(O175:O181),0)</f>
        <v>0</v>
      </c>
      <c r="P182" s="296">
        <f>ROUND(SUM(P175:P181),0)</f>
        <v>0</v>
      </c>
      <c r="Q182" s="296">
        <f>ROUND(SUM(Q175:Q181),0)</f>
        <v>0</v>
      </c>
      <c r="R182" s="296">
        <f>ROUND(SUM(R175:R181),0)</f>
        <v>0</v>
      </c>
      <c r="S182" s="297">
        <f>ROUND(SUM(S175:S181),0)</f>
        <v>0</v>
      </c>
    </row>
    <row r="183" spans="3:12" ht="15.75">
      <c r="C183" s="332" t="s">
        <v>512</v>
      </c>
      <c r="E183" s="209"/>
      <c r="L183" s="285"/>
    </row>
    <row r="184" spans="3:5" ht="15.75">
      <c r="C184" s="333" t="s">
        <v>513</v>
      </c>
      <c r="E184" s="209"/>
    </row>
    <row r="185" spans="3:5" ht="15.75">
      <c r="C185" s="333"/>
      <c r="E185" s="209"/>
    </row>
    <row r="186" spans="3:5" ht="19.5" customHeight="1">
      <c r="C186" s="206" t="s">
        <v>265</v>
      </c>
      <c r="D186" s="922">
        <f>+$D$1</f>
        <v>0</v>
      </c>
      <c r="E186" s="209"/>
    </row>
    <row r="187" spans="3:5" ht="19.5" customHeight="1">
      <c r="C187" s="206" t="s">
        <v>266</v>
      </c>
      <c r="D187" s="207">
        <f>+$D$2</f>
        <v>0</v>
      </c>
      <c r="E187" s="209" t="str">
        <f>Schedule_A!A3</f>
        <v>NURSING FACILITY 2019 COST REPORT</v>
      </c>
    </row>
    <row r="188" spans="3:5" ht="15.75">
      <c r="C188" s="206"/>
      <c r="D188" s="210"/>
      <c r="E188" s="1691"/>
    </row>
    <row r="189" spans="1:12" ht="18">
      <c r="A189" s="211" t="s">
        <v>198</v>
      </c>
      <c r="B189" s="212"/>
      <c r="C189" s="212"/>
      <c r="D189" s="212"/>
      <c r="E189" s="1692"/>
      <c r="F189" s="212"/>
      <c r="G189" s="212"/>
      <c r="H189" s="212"/>
      <c r="I189" s="212"/>
      <c r="J189" s="401"/>
      <c r="L189" s="212"/>
    </row>
    <row r="190" spans="1:18" s="1592" customFormat="1" ht="24" thickBot="1">
      <c r="A190" s="1548" t="s">
        <v>699</v>
      </c>
      <c r="B190" s="1548"/>
      <c r="C190" s="1548"/>
      <c r="D190" s="1548"/>
      <c r="E190" s="1700"/>
      <c r="F190" s="1548"/>
      <c r="G190" s="1548"/>
      <c r="H190" s="1548"/>
      <c r="I190" s="1548"/>
      <c r="J190" s="1589"/>
      <c r="K190" s="1590"/>
      <c r="L190" s="1548"/>
      <c r="O190" s="1593"/>
      <c r="P190" s="1593"/>
      <c r="Q190" s="1593"/>
      <c r="R190" s="1593"/>
    </row>
    <row r="191" spans="1:12" ht="63">
      <c r="A191" s="213"/>
      <c r="B191" s="256" t="s">
        <v>200</v>
      </c>
      <c r="C191" s="215"/>
      <c r="D191" s="216"/>
      <c r="E191" s="1677" t="s">
        <v>464</v>
      </c>
      <c r="F191" s="217" t="s">
        <v>193</v>
      </c>
      <c r="G191" s="218" t="s">
        <v>468</v>
      </c>
      <c r="H191" s="219"/>
      <c r="I191" s="257" t="s">
        <v>201</v>
      </c>
      <c r="J191" s="1092"/>
      <c r="K191" s="1085" t="s">
        <v>202</v>
      </c>
      <c r="L191" s="258"/>
    </row>
    <row r="192" spans="1:12" ht="15.75">
      <c r="A192" s="213"/>
      <c r="B192" s="221" t="s">
        <v>203</v>
      </c>
      <c r="C192" s="222" t="s">
        <v>464</v>
      </c>
      <c r="D192" s="223"/>
      <c r="E192" s="1678" t="s">
        <v>204</v>
      </c>
      <c r="F192" s="224" t="s">
        <v>205</v>
      </c>
      <c r="G192" s="224" t="s">
        <v>471</v>
      </c>
      <c r="H192" s="224" t="s">
        <v>472</v>
      </c>
      <c r="I192" s="260" t="s">
        <v>193</v>
      </c>
      <c r="J192" s="1093" t="s">
        <v>144</v>
      </c>
      <c r="K192" s="260"/>
      <c r="L192" s="261"/>
    </row>
    <row r="193" spans="1:12" ht="15.75">
      <c r="A193" s="213"/>
      <c r="B193" s="226"/>
      <c r="C193" s="227"/>
      <c r="D193" s="228"/>
      <c r="E193" s="1679" t="s">
        <v>473</v>
      </c>
      <c r="F193" s="229" t="s">
        <v>474</v>
      </c>
      <c r="G193" s="229" t="s">
        <v>475</v>
      </c>
      <c r="H193" s="229" t="s">
        <v>476</v>
      </c>
      <c r="I193" s="229" t="s">
        <v>477</v>
      </c>
      <c r="J193" s="1094" t="s">
        <v>478</v>
      </c>
      <c r="K193" s="262" t="s">
        <v>479</v>
      </c>
      <c r="L193" s="263"/>
    </row>
    <row r="194" spans="2:12" ht="21.75" customHeight="1">
      <c r="B194" s="231">
        <v>148</v>
      </c>
      <c r="C194" s="286" t="s">
        <v>514</v>
      </c>
      <c r="D194" s="265"/>
      <c r="E194" s="1674"/>
      <c r="F194" s="266"/>
      <c r="G194" s="266"/>
      <c r="H194" s="266"/>
      <c r="I194" s="266"/>
      <c r="J194" s="334"/>
      <c r="K194" s="1222"/>
      <c r="L194" s="289"/>
    </row>
    <row r="195" spans="2:19" ht="21.75" customHeight="1">
      <c r="B195" s="231">
        <v>149</v>
      </c>
      <c r="C195" s="268"/>
      <c r="D195" s="265" t="s">
        <v>330</v>
      </c>
      <c r="E195" s="1710">
        <v>5415.4</v>
      </c>
      <c r="F195" s="237"/>
      <c r="G195" s="237"/>
      <c r="H195" s="237"/>
      <c r="I195" s="311">
        <f aca="true" t="shared" si="36" ref="I195:I204">+F195+G195-H195</f>
        <v>0</v>
      </c>
      <c r="J195" s="1150"/>
      <c r="K195" s="1222"/>
      <c r="L195" s="272" t="str">
        <f aca="true" t="shared" si="37" ref="L195:L201">IF(J195&lt;0,ROUND(I195/J195,0)," ")</f>
        <v> </v>
      </c>
      <c r="O195" s="238">
        <f aca="true" t="shared" si="38" ref="O195:R204">ROUND(F195,0)</f>
        <v>0</v>
      </c>
      <c r="P195" s="238">
        <f t="shared" si="38"/>
        <v>0</v>
      </c>
      <c r="Q195" s="238">
        <f t="shared" si="38"/>
        <v>0</v>
      </c>
      <c r="R195" s="238">
        <f t="shared" si="38"/>
        <v>0</v>
      </c>
      <c r="S195" s="273">
        <f aca="true" t="shared" si="39" ref="S195:S202">IF(ISTEXT(J195),0,ROUND(J195,0))</f>
        <v>0</v>
      </c>
    </row>
    <row r="196" spans="2:19" ht="21.75" customHeight="1">
      <c r="B196" s="231">
        <v>150</v>
      </c>
      <c r="C196" s="268"/>
      <c r="D196" s="265" t="s">
        <v>331</v>
      </c>
      <c r="E196" s="1681">
        <v>5415.41</v>
      </c>
      <c r="F196" s="237"/>
      <c r="G196" s="237"/>
      <c r="H196" s="237"/>
      <c r="I196" s="311">
        <f t="shared" si="36"/>
        <v>0</v>
      </c>
      <c r="J196" s="1150"/>
      <c r="K196" s="1222"/>
      <c r="L196" s="272" t="str">
        <f t="shared" si="37"/>
        <v> </v>
      </c>
      <c r="O196" s="238">
        <f t="shared" si="38"/>
        <v>0</v>
      </c>
      <c r="P196" s="238">
        <f t="shared" si="38"/>
        <v>0</v>
      </c>
      <c r="Q196" s="238">
        <f t="shared" si="38"/>
        <v>0</v>
      </c>
      <c r="R196" s="238">
        <f t="shared" si="38"/>
        <v>0</v>
      </c>
      <c r="S196" s="273">
        <f t="shared" si="39"/>
        <v>0</v>
      </c>
    </row>
    <row r="197" spans="2:19" ht="21.75" customHeight="1">
      <c r="B197" s="231">
        <v>151</v>
      </c>
      <c r="C197" s="268"/>
      <c r="D197" s="240" t="s">
        <v>511</v>
      </c>
      <c r="E197" s="1681">
        <v>5415.42</v>
      </c>
      <c r="F197" s="237"/>
      <c r="G197" s="237"/>
      <c r="H197" s="237"/>
      <c r="I197" s="311">
        <f t="shared" si="36"/>
        <v>0</v>
      </c>
      <c r="J197" s="1150"/>
      <c r="K197" s="1222"/>
      <c r="L197" s="272" t="str">
        <f t="shared" si="37"/>
        <v> </v>
      </c>
      <c r="O197" s="238">
        <f t="shared" si="38"/>
        <v>0</v>
      </c>
      <c r="P197" s="238">
        <f t="shared" si="38"/>
        <v>0</v>
      </c>
      <c r="Q197" s="238">
        <f t="shared" si="38"/>
        <v>0</v>
      </c>
      <c r="R197" s="238">
        <f t="shared" si="38"/>
        <v>0</v>
      </c>
      <c r="S197" s="273">
        <f t="shared" si="39"/>
        <v>0</v>
      </c>
    </row>
    <row r="198" spans="2:19" ht="21.75" customHeight="1">
      <c r="B198" s="231">
        <v>152</v>
      </c>
      <c r="C198" s="268"/>
      <c r="D198" s="298" t="s">
        <v>333</v>
      </c>
      <c r="E198" s="1681">
        <v>5415.43</v>
      </c>
      <c r="F198" s="237"/>
      <c r="G198" s="237"/>
      <c r="H198" s="237"/>
      <c r="I198" s="311">
        <f t="shared" si="36"/>
        <v>0</v>
      </c>
      <c r="J198" s="1150"/>
      <c r="K198" s="1222"/>
      <c r="L198" s="272" t="str">
        <f t="shared" si="37"/>
        <v> </v>
      </c>
      <c r="O198" s="238">
        <f t="shared" si="38"/>
        <v>0</v>
      </c>
      <c r="P198" s="238">
        <f t="shared" si="38"/>
        <v>0</v>
      </c>
      <c r="Q198" s="238">
        <f t="shared" si="38"/>
        <v>0</v>
      </c>
      <c r="R198" s="238">
        <f t="shared" si="38"/>
        <v>0</v>
      </c>
      <c r="S198" s="273">
        <f t="shared" si="39"/>
        <v>0</v>
      </c>
    </row>
    <row r="199" spans="2:19" ht="21.75" customHeight="1">
      <c r="B199" s="231">
        <v>153</v>
      </c>
      <c r="C199" s="268"/>
      <c r="D199" s="265" t="s">
        <v>334</v>
      </c>
      <c r="E199" s="1681">
        <v>5415.45</v>
      </c>
      <c r="F199" s="237"/>
      <c r="G199" s="237"/>
      <c r="H199" s="237"/>
      <c r="I199" s="311">
        <f t="shared" si="36"/>
        <v>0</v>
      </c>
      <c r="J199" s="1150"/>
      <c r="K199" s="1222"/>
      <c r="L199" s="272" t="str">
        <f t="shared" si="37"/>
        <v> </v>
      </c>
      <c r="O199" s="238">
        <f t="shared" si="38"/>
        <v>0</v>
      </c>
      <c r="P199" s="238">
        <f t="shared" si="38"/>
        <v>0</v>
      </c>
      <c r="Q199" s="238">
        <f t="shared" si="38"/>
        <v>0</v>
      </c>
      <c r="R199" s="238">
        <f t="shared" si="38"/>
        <v>0</v>
      </c>
      <c r="S199" s="273">
        <f t="shared" si="39"/>
        <v>0</v>
      </c>
    </row>
    <row r="200" spans="2:19" ht="21.75" customHeight="1">
      <c r="B200" s="231">
        <v>154</v>
      </c>
      <c r="C200" s="268"/>
      <c r="D200" s="293" t="s">
        <v>335</v>
      </c>
      <c r="E200" s="1681">
        <v>5415.46</v>
      </c>
      <c r="F200" s="237"/>
      <c r="G200" s="237"/>
      <c r="H200" s="237"/>
      <c r="I200" s="311">
        <f t="shared" si="36"/>
        <v>0</v>
      </c>
      <c r="J200" s="1150"/>
      <c r="K200" s="1222"/>
      <c r="L200" s="272" t="str">
        <f t="shared" si="37"/>
        <v> </v>
      </c>
      <c r="O200" s="238">
        <f t="shared" si="38"/>
        <v>0</v>
      </c>
      <c r="P200" s="238">
        <f t="shared" si="38"/>
        <v>0</v>
      </c>
      <c r="Q200" s="238">
        <f t="shared" si="38"/>
        <v>0</v>
      </c>
      <c r="R200" s="238">
        <f t="shared" si="38"/>
        <v>0</v>
      </c>
      <c r="S200" s="273">
        <f t="shared" si="39"/>
        <v>0</v>
      </c>
    </row>
    <row r="201" spans="2:19" ht="21.75" customHeight="1">
      <c r="B201" s="231">
        <v>155</v>
      </c>
      <c r="C201" s="268"/>
      <c r="D201" s="298" t="s">
        <v>595</v>
      </c>
      <c r="E201" s="1681">
        <v>5415.47</v>
      </c>
      <c r="F201" s="935"/>
      <c r="G201" s="237"/>
      <c r="H201" s="237"/>
      <c r="I201" s="311">
        <f t="shared" si="36"/>
        <v>0</v>
      </c>
      <c r="J201" s="1150"/>
      <c r="K201" s="1222"/>
      <c r="L201" s="272" t="str">
        <f t="shared" si="37"/>
        <v> </v>
      </c>
      <c r="O201" s="238">
        <f t="shared" si="38"/>
        <v>0</v>
      </c>
      <c r="P201" s="238">
        <f t="shared" si="38"/>
        <v>0</v>
      </c>
      <c r="Q201" s="238">
        <f t="shared" si="38"/>
        <v>0</v>
      </c>
      <c r="R201" s="238">
        <f t="shared" si="38"/>
        <v>0</v>
      </c>
      <c r="S201" s="273">
        <f t="shared" si="39"/>
        <v>0</v>
      </c>
    </row>
    <row r="202" spans="2:19" ht="21.75" customHeight="1">
      <c r="B202" s="231">
        <v>156</v>
      </c>
      <c r="C202" s="335"/>
      <c r="D202" s="336" t="s">
        <v>515</v>
      </c>
      <c r="E202" s="1716">
        <v>5495</v>
      </c>
      <c r="F202" s="337"/>
      <c r="G202" s="337"/>
      <c r="H202" s="337"/>
      <c r="I202" s="338">
        <f t="shared" si="36"/>
        <v>0</v>
      </c>
      <c r="J202" s="1155"/>
      <c r="K202" s="1222"/>
      <c r="L202" s="295"/>
      <c r="O202" s="238">
        <f t="shared" si="38"/>
        <v>0</v>
      </c>
      <c r="P202" s="238">
        <f t="shared" si="38"/>
        <v>0</v>
      </c>
      <c r="Q202" s="238">
        <f t="shared" si="38"/>
        <v>0</v>
      </c>
      <c r="R202" s="238">
        <f t="shared" si="38"/>
        <v>0</v>
      </c>
      <c r="S202" s="273">
        <f t="shared" si="39"/>
        <v>0</v>
      </c>
    </row>
    <row r="203" spans="2:18" ht="21.75" customHeight="1">
      <c r="B203" s="231">
        <v>157</v>
      </c>
      <c r="C203" s="335"/>
      <c r="D203" s="339" t="s">
        <v>516</v>
      </c>
      <c r="E203" s="1684">
        <v>5417</v>
      </c>
      <c r="F203" s="237"/>
      <c r="G203" s="237"/>
      <c r="H203" s="237"/>
      <c r="I203" s="241">
        <f t="shared" si="36"/>
        <v>0</v>
      </c>
      <c r="J203" s="1150"/>
      <c r="K203" s="1222"/>
      <c r="L203" s="295"/>
      <c r="O203" s="238">
        <f t="shared" si="38"/>
        <v>0</v>
      </c>
      <c r="P203" s="238">
        <f t="shared" si="38"/>
        <v>0</v>
      </c>
      <c r="Q203" s="238">
        <f t="shared" si="38"/>
        <v>0</v>
      </c>
      <c r="R203" s="238">
        <f t="shared" si="38"/>
        <v>0</v>
      </c>
    </row>
    <row r="204" spans="2:18" ht="21.75" customHeight="1">
      <c r="B204" s="231">
        <v>158</v>
      </c>
      <c r="C204" s="340"/>
      <c r="D204" s="339" t="s">
        <v>596</v>
      </c>
      <c r="E204" s="1684">
        <v>5419</v>
      </c>
      <c r="F204" s="237"/>
      <c r="G204" s="237"/>
      <c r="H204" s="237"/>
      <c r="I204" s="241">
        <f t="shared" si="36"/>
        <v>0</v>
      </c>
      <c r="J204" s="1150"/>
      <c r="K204" s="1222"/>
      <c r="L204" s="295"/>
      <c r="O204" s="238">
        <f t="shared" si="38"/>
        <v>0</v>
      </c>
      <c r="P204" s="238">
        <f t="shared" si="38"/>
        <v>0</v>
      </c>
      <c r="Q204" s="238">
        <f t="shared" si="38"/>
        <v>0</v>
      </c>
      <c r="R204" s="238">
        <f t="shared" si="38"/>
        <v>0</v>
      </c>
    </row>
    <row r="205" spans="2:19" ht="21.75" customHeight="1">
      <c r="B205" s="231">
        <v>159</v>
      </c>
      <c r="C205" s="294" t="s">
        <v>314</v>
      </c>
      <c r="D205" s="265"/>
      <c r="E205" s="1717">
        <v>5415</v>
      </c>
      <c r="F205" s="241">
        <f>O205</f>
        <v>0</v>
      </c>
      <c r="G205" s="241">
        <f>P205</f>
        <v>0</v>
      </c>
      <c r="H205" s="241">
        <f>Q205</f>
        <v>0</v>
      </c>
      <c r="I205" s="311">
        <f>R205</f>
        <v>0</v>
      </c>
      <c r="J205" s="1150"/>
      <c r="K205" s="1222"/>
      <c r="L205" s="295"/>
      <c r="O205" s="296">
        <f>ROUND(SUM(O195:O204),0)</f>
        <v>0</v>
      </c>
      <c r="P205" s="296">
        <f>ROUND(SUM(P195:P204),0)</f>
        <v>0</v>
      </c>
      <c r="Q205" s="296">
        <f>ROUND(SUM(Q195:Q204),0)</f>
        <v>0</v>
      </c>
      <c r="R205" s="296">
        <f>ROUND(SUM(R195:R204),0)</f>
        <v>0</v>
      </c>
      <c r="S205" s="296">
        <f>ROUND(SUM(S195:S204),0)</f>
        <v>0</v>
      </c>
    </row>
    <row r="206" spans="2:19" ht="21.75" customHeight="1">
      <c r="B206" s="231">
        <v>160</v>
      </c>
      <c r="C206" s="336" t="s">
        <v>517</v>
      </c>
      <c r="D206" s="335"/>
      <c r="E206" s="1716">
        <v>5496</v>
      </c>
      <c r="F206" s="337"/>
      <c r="G206" s="337"/>
      <c r="H206" s="337"/>
      <c r="I206" s="338">
        <f aca="true" t="shared" si="40" ref="I206:I218">+F206+G206-H206</f>
        <v>0</v>
      </c>
      <c r="J206" s="1156"/>
      <c r="K206" s="1222"/>
      <c r="L206" s="295"/>
      <c r="O206" s="238">
        <f aca="true" t="shared" si="41" ref="O206:R222">ROUND(F206,0)</f>
        <v>0</v>
      </c>
      <c r="P206" s="238">
        <f t="shared" si="41"/>
        <v>0</v>
      </c>
      <c r="Q206" s="238">
        <f t="shared" si="41"/>
        <v>0</v>
      </c>
      <c r="R206" s="238">
        <f t="shared" si="41"/>
        <v>0</v>
      </c>
      <c r="S206" s="273">
        <f>IF(ISTEXT(J206),0,ROUND(J206,0))</f>
        <v>0</v>
      </c>
    </row>
    <row r="207" spans="2:18" s="252" customFormat="1" ht="21.75" customHeight="1">
      <c r="B207" s="231">
        <v>161</v>
      </c>
      <c r="C207" s="341" t="s">
        <v>518</v>
      </c>
      <c r="D207" s="265"/>
      <c r="E207" s="1713">
        <v>5422</v>
      </c>
      <c r="F207" s="329"/>
      <c r="G207" s="329"/>
      <c r="H207" s="329"/>
      <c r="I207" s="342">
        <f t="shared" si="40"/>
        <v>0</v>
      </c>
      <c r="J207" s="1154"/>
      <c r="K207" s="1222"/>
      <c r="L207" s="323"/>
      <c r="O207" s="238">
        <f t="shared" si="41"/>
        <v>0</v>
      </c>
      <c r="P207" s="238">
        <f t="shared" si="41"/>
        <v>0</v>
      </c>
      <c r="Q207" s="238">
        <f t="shared" si="41"/>
        <v>0</v>
      </c>
      <c r="R207" s="238">
        <f t="shared" si="41"/>
        <v>0</v>
      </c>
    </row>
    <row r="208" spans="2:18" ht="21.75" customHeight="1">
      <c r="B208" s="231">
        <v>162</v>
      </c>
      <c r="C208" s="265" t="s">
        <v>519</v>
      </c>
      <c r="D208" s="265"/>
      <c r="E208" s="1714">
        <v>5423</v>
      </c>
      <c r="F208" s="237"/>
      <c r="G208" s="237"/>
      <c r="H208" s="237"/>
      <c r="I208" s="311">
        <f t="shared" si="40"/>
        <v>0</v>
      </c>
      <c r="J208" s="1154"/>
      <c r="K208" s="1222"/>
      <c r="L208" s="323"/>
      <c r="O208" s="238">
        <f t="shared" si="41"/>
        <v>0</v>
      </c>
      <c r="P208" s="238">
        <f t="shared" si="41"/>
        <v>0</v>
      </c>
      <c r="Q208" s="238">
        <f t="shared" si="41"/>
        <v>0</v>
      </c>
      <c r="R208" s="238">
        <f t="shared" si="41"/>
        <v>0</v>
      </c>
    </row>
    <row r="209" spans="2:18" ht="21.75" customHeight="1">
      <c r="B209" s="231">
        <v>163</v>
      </c>
      <c r="C209" s="265" t="s">
        <v>154</v>
      </c>
      <c r="D209" s="265"/>
      <c r="E209" s="1681">
        <v>5424</v>
      </c>
      <c r="F209" s="237"/>
      <c r="G209" s="237"/>
      <c r="H209" s="237"/>
      <c r="I209" s="311">
        <f t="shared" si="40"/>
        <v>0</v>
      </c>
      <c r="J209" s="1150"/>
      <c r="K209" s="1222"/>
      <c r="L209" s="295"/>
      <c r="O209" s="238">
        <f t="shared" si="41"/>
        <v>0</v>
      </c>
      <c r="P209" s="238">
        <f t="shared" si="41"/>
        <v>0</v>
      </c>
      <c r="Q209" s="238">
        <f t="shared" si="41"/>
        <v>0</v>
      </c>
      <c r="R209" s="238">
        <f t="shared" si="41"/>
        <v>0</v>
      </c>
    </row>
    <row r="210" spans="2:18" ht="21.75" customHeight="1">
      <c r="B210" s="231">
        <v>164</v>
      </c>
      <c r="C210" s="265" t="s">
        <v>155</v>
      </c>
      <c r="D210" s="265"/>
      <c r="E210" s="1681">
        <v>5425</v>
      </c>
      <c r="F210" s="237"/>
      <c r="G210" s="237"/>
      <c r="H210" s="237"/>
      <c r="I210" s="311">
        <f t="shared" si="40"/>
        <v>0</v>
      </c>
      <c r="J210" s="1150"/>
      <c r="K210" s="1222"/>
      <c r="L210" s="295"/>
      <c r="O210" s="238">
        <f t="shared" si="41"/>
        <v>0</v>
      </c>
      <c r="P210" s="238">
        <f t="shared" si="41"/>
        <v>0</v>
      </c>
      <c r="Q210" s="238">
        <f t="shared" si="41"/>
        <v>0</v>
      </c>
      <c r="R210" s="238">
        <f t="shared" si="41"/>
        <v>0</v>
      </c>
    </row>
    <row r="211" spans="2:18" ht="21.75" customHeight="1">
      <c r="B211" s="231">
        <v>165</v>
      </c>
      <c r="C211" s="265" t="s">
        <v>156</v>
      </c>
      <c r="D211" s="265"/>
      <c r="E211" s="1681">
        <v>5426</v>
      </c>
      <c r="F211" s="237"/>
      <c r="G211" s="237"/>
      <c r="H211" s="237"/>
      <c r="I211" s="311">
        <f t="shared" si="40"/>
        <v>0</v>
      </c>
      <c r="J211" s="1150"/>
      <c r="K211" s="1222"/>
      <c r="L211" s="295"/>
      <c r="O211" s="238">
        <f t="shared" si="41"/>
        <v>0</v>
      </c>
      <c r="P211" s="238">
        <f t="shared" si="41"/>
        <v>0</v>
      </c>
      <c r="Q211" s="238">
        <f t="shared" si="41"/>
        <v>0</v>
      </c>
      <c r="R211" s="238">
        <f t="shared" si="41"/>
        <v>0</v>
      </c>
    </row>
    <row r="212" spans="2:18" ht="21.75" customHeight="1">
      <c r="B212" s="231">
        <v>166</v>
      </c>
      <c r="C212" s="249" t="s">
        <v>157</v>
      </c>
      <c r="D212" s="265"/>
      <c r="E212" s="1684">
        <v>5428</v>
      </c>
      <c r="F212" s="237"/>
      <c r="G212" s="237"/>
      <c r="H212" s="237"/>
      <c r="I212" s="241">
        <f t="shared" si="40"/>
        <v>0</v>
      </c>
      <c r="J212" s="1150"/>
      <c r="K212" s="1222"/>
      <c r="L212" s="295"/>
      <c r="O212" s="238">
        <f t="shared" si="41"/>
        <v>0</v>
      </c>
      <c r="P212" s="238">
        <f t="shared" si="41"/>
        <v>0</v>
      </c>
      <c r="Q212" s="238">
        <f t="shared" si="41"/>
        <v>0</v>
      </c>
      <c r="R212" s="238">
        <f t="shared" si="41"/>
        <v>0</v>
      </c>
    </row>
    <row r="213" spans="2:18" ht="21.75" customHeight="1">
      <c r="B213" s="231">
        <v>167</v>
      </c>
      <c r="C213" s="265" t="s">
        <v>597</v>
      </c>
      <c r="D213" s="265"/>
      <c r="E213" s="1714">
        <v>5429</v>
      </c>
      <c r="F213" s="237"/>
      <c r="G213" s="237"/>
      <c r="H213" s="237"/>
      <c r="I213" s="311">
        <f t="shared" si="40"/>
        <v>0</v>
      </c>
      <c r="J213" s="1150"/>
      <c r="K213" s="1222"/>
      <c r="L213" s="295"/>
      <c r="O213" s="238">
        <f t="shared" si="41"/>
        <v>0</v>
      </c>
      <c r="P213" s="238">
        <f t="shared" si="41"/>
        <v>0</v>
      </c>
      <c r="Q213" s="238">
        <f t="shared" si="41"/>
        <v>0</v>
      </c>
      <c r="R213" s="238">
        <f t="shared" si="41"/>
        <v>0</v>
      </c>
    </row>
    <row r="214" spans="2:18" ht="21.75" customHeight="1">
      <c r="B214" s="231">
        <v>168</v>
      </c>
      <c r="C214" s="298" t="s">
        <v>600</v>
      </c>
      <c r="D214" s="265"/>
      <c r="E214" s="1714">
        <v>5430</v>
      </c>
      <c r="F214" s="237"/>
      <c r="G214" s="237"/>
      <c r="H214" s="1070"/>
      <c r="I214" s="311">
        <f t="shared" si="40"/>
        <v>0</v>
      </c>
      <c r="J214" s="1150"/>
      <c r="K214" s="1222"/>
      <c r="L214" s="295"/>
      <c r="O214" s="238">
        <f t="shared" si="41"/>
        <v>0</v>
      </c>
      <c r="P214" s="238">
        <f t="shared" si="41"/>
        <v>0</v>
      </c>
      <c r="Q214" s="238">
        <f t="shared" si="41"/>
        <v>0</v>
      </c>
      <c r="R214" s="238">
        <f t="shared" si="41"/>
        <v>0</v>
      </c>
    </row>
    <row r="215" spans="2:18" ht="21.75" customHeight="1">
      <c r="B215" s="231">
        <v>169</v>
      </c>
      <c r="C215" s="341" t="s">
        <v>158</v>
      </c>
      <c r="D215" s="265"/>
      <c r="E215" s="1681">
        <v>5431</v>
      </c>
      <c r="F215" s="237"/>
      <c r="G215" s="237"/>
      <c r="H215" s="237"/>
      <c r="I215" s="311">
        <f t="shared" si="40"/>
        <v>0</v>
      </c>
      <c r="J215" s="1150"/>
      <c r="K215" s="1222"/>
      <c r="L215" s="295"/>
      <c r="O215" s="238">
        <f t="shared" si="41"/>
        <v>0</v>
      </c>
      <c r="P215" s="238">
        <f t="shared" si="41"/>
        <v>0</v>
      </c>
      <c r="Q215" s="238">
        <f t="shared" si="41"/>
        <v>0</v>
      </c>
      <c r="R215" s="238">
        <f t="shared" si="41"/>
        <v>0</v>
      </c>
    </row>
    <row r="216" spans="2:18" ht="21.75" customHeight="1">
      <c r="B216" s="231">
        <v>170</v>
      </c>
      <c r="C216" s="265" t="s">
        <v>672</v>
      </c>
      <c r="D216" s="265"/>
      <c r="E216" s="1681">
        <v>5434</v>
      </c>
      <c r="F216" s="237"/>
      <c r="G216" s="237"/>
      <c r="H216" s="237"/>
      <c r="I216" s="311">
        <f t="shared" si="40"/>
        <v>0</v>
      </c>
      <c r="J216" s="1150"/>
      <c r="K216" s="1222"/>
      <c r="L216" s="295"/>
      <c r="O216" s="238">
        <f t="shared" si="41"/>
        <v>0</v>
      </c>
      <c r="P216" s="238">
        <f t="shared" si="41"/>
        <v>0</v>
      </c>
      <c r="Q216" s="238">
        <f t="shared" si="41"/>
        <v>0</v>
      </c>
      <c r="R216" s="238">
        <f t="shared" si="41"/>
        <v>0</v>
      </c>
    </row>
    <row r="217" spans="2:18" ht="21.75" customHeight="1">
      <c r="B217" s="231">
        <v>171</v>
      </c>
      <c r="C217" s="265" t="s">
        <v>159</v>
      </c>
      <c r="D217" s="265"/>
      <c r="E217" s="1681">
        <v>5436</v>
      </c>
      <c r="F217" s="237"/>
      <c r="G217" s="237"/>
      <c r="H217" s="237"/>
      <c r="I217" s="311">
        <f t="shared" si="40"/>
        <v>0</v>
      </c>
      <c r="J217" s="1150"/>
      <c r="K217" s="1222"/>
      <c r="L217" s="295"/>
      <c r="O217" s="238">
        <f t="shared" si="41"/>
        <v>0</v>
      </c>
      <c r="P217" s="238">
        <f t="shared" si="41"/>
        <v>0</v>
      </c>
      <c r="Q217" s="238">
        <f t="shared" si="41"/>
        <v>0</v>
      </c>
      <c r="R217" s="238">
        <f t="shared" si="41"/>
        <v>0</v>
      </c>
    </row>
    <row r="218" spans="2:18" ht="15" customHeight="1">
      <c r="B218" s="231">
        <v>172</v>
      </c>
      <c r="C218" s="343" t="s">
        <v>160</v>
      </c>
      <c r="D218" s="208"/>
      <c r="E218" s="1707">
        <v>5437</v>
      </c>
      <c r="F218" s="302"/>
      <c r="G218" s="302"/>
      <c r="H218" s="302"/>
      <c r="I218" s="250">
        <f t="shared" si="40"/>
        <v>0</v>
      </c>
      <c r="J218" s="1152"/>
      <c r="K218" s="1228"/>
      <c r="L218" s="295"/>
      <c r="O218" s="238">
        <f t="shared" si="41"/>
        <v>0</v>
      </c>
      <c r="P218" s="238">
        <f t="shared" si="41"/>
        <v>0</v>
      </c>
      <c r="Q218" s="238">
        <f t="shared" si="41"/>
        <v>0</v>
      </c>
      <c r="R218" s="238">
        <f t="shared" si="41"/>
        <v>0</v>
      </c>
    </row>
    <row r="219" spans="2:18" s="252" customFormat="1" ht="15.75">
      <c r="B219" s="231">
        <v>173</v>
      </c>
      <c r="C219" s="344" t="s">
        <v>161</v>
      </c>
      <c r="D219" s="345"/>
      <c r="E219" s="1712"/>
      <c r="F219" s="326"/>
      <c r="G219" s="326"/>
      <c r="H219" s="326"/>
      <c r="I219" s="326"/>
      <c r="J219" s="1153"/>
      <c r="K219" s="1222"/>
      <c r="L219" s="327"/>
      <c r="O219" s="238">
        <f t="shared" si="41"/>
        <v>0</v>
      </c>
      <c r="P219" s="238">
        <f t="shared" si="41"/>
        <v>0</v>
      </c>
      <c r="Q219" s="238">
        <f t="shared" si="41"/>
        <v>0</v>
      </c>
      <c r="R219" s="238">
        <f t="shared" si="41"/>
        <v>0</v>
      </c>
    </row>
    <row r="220" spans="2:18" ht="21.75" customHeight="1">
      <c r="B220" s="231">
        <v>174</v>
      </c>
      <c r="C220" s="341" t="s">
        <v>162</v>
      </c>
      <c r="D220" s="265"/>
      <c r="E220" s="1681">
        <v>5438</v>
      </c>
      <c r="F220" s="237"/>
      <c r="G220" s="237"/>
      <c r="H220" s="237"/>
      <c r="I220" s="311">
        <f>+F220+G220-H220</f>
        <v>0</v>
      </c>
      <c r="J220" s="1150"/>
      <c r="K220" s="1222"/>
      <c r="L220" s="295"/>
      <c r="O220" s="238">
        <f t="shared" si="41"/>
        <v>0</v>
      </c>
      <c r="P220" s="238">
        <f t="shared" si="41"/>
        <v>0</v>
      </c>
      <c r="Q220" s="238">
        <f t="shared" si="41"/>
        <v>0</v>
      </c>
      <c r="R220" s="238">
        <f t="shared" si="41"/>
        <v>0</v>
      </c>
    </row>
    <row r="221" spans="2:18" ht="21.75" customHeight="1">
      <c r="B221" s="231">
        <v>175</v>
      </c>
      <c r="C221" s="341" t="s">
        <v>311</v>
      </c>
      <c r="D221" s="265"/>
      <c r="E221" s="1681">
        <v>5439</v>
      </c>
      <c r="F221" s="237"/>
      <c r="G221" s="237"/>
      <c r="H221" s="237"/>
      <c r="I221" s="311">
        <f>+F221+G221-H221</f>
        <v>0</v>
      </c>
      <c r="J221" s="1150"/>
      <c r="K221" s="1222"/>
      <c r="L221" s="295"/>
      <c r="O221" s="238">
        <f t="shared" si="41"/>
        <v>0</v>
      </c>
      <c r="P221" s="238">
        <f t="shared" si="41"/>
        <v>0</v>
      </c>
      <c r="Q221" s="238">
        <f t="shared" si="41"/>
        <v>0</v>
      </c>
      <c r="R221" s="238">
        <f t="shared" si="41"/>
        <v>0</v>
      </c>
    </row>
    <row r="222" spans="2:18" ht="21.75" customHeight="1">
      <c r="B222" s="231">
        <v>176</v>
      </c>
      <c r="C222" s="346" t="s">
        <v>163</v>
      </c>
      <c r="D222" s="265"/>
      <c r="E222" s="1681">
        <v>9905</v>
      </c>
      <c r="F222" s="266"/>
      <c r="G222" s="269"/>
      <c r="H222" s="269"/>
      <c r="I222" s="270">
        <f>IF((+G222-H222)=_C000623,+G222-H222,"ERR!!!!!!!!")</f>
        <v>0</v>
      </c>
      <c r="J222" s="1150"/>
      <c r="K222" s="1222"/>
      <c r="L222" s="295"/>
      <c r="O222" s="238">
        <f t="shared" si="41"/>
        <v>0</v>
      </c>
      <c r="P222" s="238">
        <f t="shared" si="41"/>
        <v>0</v>
      </c>
      <c r="Q222" s="238">
        <f t="shared" si="41"/>
        <v>0</v>
      </c>
      <c r="R222" s="238">
        <f t="shared" si="41"/>
        <v>0</v>
      </c>
    </row>
    <row r="223" spans="2:19" ht="19.5" thickBot="1">
      <c r="B223" s="231">
        <v>177</v>
      </c>
      <c r="C223" s="1594" t="s">
        <v>164</v>
      </c>
      <c r="D223" s="1329"/>
      <c r="E223" s="1708">
        <v>5400</v>
      </c>
      <c r="F223" s="1595">
        <f>O223</f>
        <v>0</v>
      </c>
      <c r="G223" s="1595">
        <f>P223</f>
        <v>0</v>
      </c>
      <c r="H223" s="1595">
        <f>Q223</f>
        <v>0</v>
      </c>
      <c r="I223" s="1595">
        <f>R223</f>
        <v>0</v>
      </c>
      <c r="J223" s="1595">
        <f>_C000868</f>
        <v>0</v>
      </c>
      <c r="K223" s="1229"/>
      <c r="L223" s="295"/>
      <c r="O223" s="251">
        <f>ROUND(SUM(O166+O167+O169+O171+O172+O173+O182+O205+O207+O208+O209+O210+O211+O212+O213+O214+O215+O216+O217+O218+O220+O221+O222+O206),0)</f>
        <v>0</v>
      </c>
      <c r="P223" s="251">
        <f>ROUND(SUM(P166+P167+P169+P171+P172+P173+P182+P205+P207+P208+P209+P210+P211+P212+P213+P214+P215+P216+P217+P218+P220+P221+P222+P206),0)</f>
        <v>0</v>
      </c>
      <c r="Q223" s="251">
        <f>ROUND(SUM(Q166+Q167+Q169+Q171+Q172+Q173+Q182+Q205+Q207+Q208+Q209+Q210+Q211+Q212+Q213+Q214+Q215+Q216+Q217+Q218+Q220+Q221+Q222+Q206),0)</f>
        <v>0</v>
      </c>
      <c r="R223" s="251">
        <f>ROUND(SUM(R166+R167+R169+R171+R172+R173+R182+R205+R207+R208+R209+R210+R211+R212+R213+R214+R215+R216+R217+R218+R220+R221+R222+R206),0)</f>
        <v>0</v>
      </c>
      <c r="S223" s="251">
        <f>ROUND(SUM(S166+S167+S169+S171+S172+S173+S182+S205+S207+S208+S209+S210+S211+S212+S213+S214+S215+S216+S217+S218+S220+S221+S222+S206),0)</f>
        <v>0</v>
      </c>
    </row>
    <row r="224" spans="3:12" ht="15.75">
      <c r="C224" s="332" t="s">
        <v>512</v>
      </c>
      <c r="E224" s="209"/>
      <c r="L224" s="285"/>
    </row>
    <row r="225" spans="3:5" ht="15.75">
      <c r="C225" s="332" t="s">
        <v>513</v>
      </c>
      <c r="E225" s="209"/>
    </row>
    <row r="226" spans="3:5" ht="15.75">
      <c r="C226" s="332"/>
      <c r="E226" s="209"/>
    </row>
    <row r="227" spans="3:5" ht="19.5" customHeight="1">
      <c r="C227" s="206" t="s">
        <v>265</v>
      </c>
      <c r="D227" s="922">
        <f>+$D$1</f>
        <v>0</v>
      </c>
      <c r="E227" s="209"/>
    </row>
    <row r="228" spans="3:5" ht="19.5" customHeight="1">
      <c r="C228" s="206" t="s">
        <v>266</v>
      </c>
      <c r="D228" s="207">
        <f>+$D$2</f>
        <v>0</v>
      </c>
      <c r="E228" s="209" t="str">
        <f>Schedule_A!$A$3</f>
        <v>NURSING FACILITY 2019 COST REPORT</v>
      </c>
    </row>
    <row r="229" spans="3:5" ht="15.75">
      <c r="C229" s="206"/>
      <c r="D229" s="210"/>
      <c r="E229" s="1691"/>
    </row>
    <row r="230" spans="1:12" ht="18">
      <c r="A230" s="211" t="s">
        <v>198</v>
      </c>
      <c r="B230" s="212"/>
      <c r="C230" s="212"/>
      <c r="D230" s="212"/>
      <c r="E230" s="1692"/>
      <c r="F230" s="212"/>
      <c r="G230" s="212"/>
      <c r="H230" s="212"/>
      <c r="I230" s="212"/>
      <c r="J230" s="401"/>
      <c r="L230" s="212"/>
    </row>
    <row r="231" spans="1:18" s="1592" customFormat="1" ht="24" thickBot="1">
      <c r="A231" s="1548" t="s">
        <v>699</v>
      </c>
      <c r="B231" s="1548"/>
      <c r="C231" s="1548"/>
      <c r="D231" s="1548"/>
      <c r="E231" s="1700"/>
      <c r="F231" s="1548"/>
      <c r="G231" s="1548"/>
      <c r="H231" s="1548"/>
      <c r="I231" s="1548"/>
      <c r="J231" s="1589"/>
      <c r="K231" s="1590"/>
      <c r="L231" s="1548"/>
      <c r="O231" s="1593"/>
      <c r="P231" s="1593"/>
      <c r="Q231" s="1593"/>
      <c r="R231" s="1593"/>
    </row>
    <row r="232" spans="1:12" ht="63">
      <c r="A232" s="213"/>
      <c r="B232" s="256" t="s">
        <v>200</v>
      </c>
      <c r="C232" s="215"/>
      <c r="D232" s="216"/>
      <c r="E232" s="1677" t="s">
        <v>464</v>
      </c>
      <c r="F232" s="217" t="s">
        <v>193</v>
      </c>
      <c r="G232" s="218" t="s">
        <v>468</v>
      </c>
      <c r="H232" s="219"/>
      <c r="I232" s="257" t="s">
        <v>201</v>
      </c>
      <c r="J232" s="1092"/>
      <c r="K232" s="1085" t="s">
        <v>202</v>
      </c>
      <c r="L232" s="258"/>
    </row>
    <row r="233" spans="1:12" ht="15.75">
      <c r="A233" s="213"/>
      <c r="B233" s="221" t="s">
        <v>203</v>
      </c>
      <c r="C233" s="222" t="s">
        <v>464</v>
      </c>
      <c r="D233" s="223"/>
      <c r="E233" s="1678" t="s">
        <v>204</v>
      </c>
      <c r="F233" s="224" t="s">
        <v>205</v>
      </c>
      <c r="G233" s="224" t="s">
        <v>471</v>
      </c>
      <c r="H233" s="224" t="s">
        <v>472</v>
      </c>
      <c r="I233" s="260" t="s">
        <v>193</v>
      </c>
      <c r="J233" s="1093" t="s">
        <v>144</v>
      </c>
      <c r="K233" s="260"/>
      <c r="L233" s="261"/>
    </row>
    <row r="234" spans="1:12" ht="15.75">
      <c r="A234" s="213"/>
      <c r="B234" s="226"/>
      <c r="C234" s="227"/>
      <c r="D234" s="228"/>
      <c r="E234" s="1679" t="s">
        <v>473</v>
      </c>
      <c r="F234" s="229" t="s">
        <v>474</v>
      </c>
      <c r="G234" s="229" t="s">
        <v>475</v>
      </c>
      <c r="H234" s="229" t="s">
        <v>476</v>
      </c>
      <c r="I234" s="229" t="s">
        <v>477</v>
      </c>
      <c r="J234" s="1094" t="s">
        <v>478</v>
      </c>
      <c r="K234" s="262" t="s">
        <v>479</v>
      </c>
      <c r="L234" s="263"/>
    </row>
    <row r="235" spans="2:12" ht="18.75">
      <c r="B235" s="231">
        <v>178</v>
      </c>
      <c r="C235" s="308" t="s">
        <v>165</v>
      </c>
      <c r="D235" s="265"/>
      <c r="E235" s="1674"/>
      <c r="F235" s="287"/>
      <c r="G235" s="287"/>
      <c r="H235" s="287"/>
      <c r="I235" s="287"/>
      <c r="J235" s="1096"/>
      <c r="K235" s="1218"/>
      <c r="L235" s="289"/>
    </row>
    <row r="236" spans="2:19" ht="19.5" customHeight="1">
      <c r="B236" s="231">
        <v>179</v>
      </c>
      <c r="C236" s="268"/>
      <c r="D236" s="265" t="s">
        <v>318</v>
      </c>
      <c r="E236" s="1705">
        <v>5441</v>
      </c>
      <c r="F236" s="237"/>
      <c r="G236" s="237"/>
      <c r="H236" s="237"/>
      <c r="I236" s="311">
        <f aca="true" t="shared" si="42" ref="I236:I242">+F236+G236-H236</f>
        <v>0</v>
      </c>
      <c r="J236" s="312"/>
      <c r="K236" s="1222"/>
      <c r="L236" s="272" t="str">
        <f>IF(J236&lt;0,ROUND(I236/J236,0)," ")</f>
        <v> </v>
      </c>
      <c r="O236" s="238">
        <f aca="true" t="shared" si="43" ref="O236:R242">ROUND(F236,0)</f>
        <v>0</v>
      </c>
      <c r="P236" s="238">
        <f t="shared" si="43"/>
        <v>0</v>
      </c>
      <c r="Q236" s="238">
        <f t="shared" si="43"/>
        <v>0</v>
      </c>
      <c r="R236" s="238">
        <f t="shared" si="43"/>
        <v>0</v>
      </c>
      <c r="S236" s="273">
        <f>IF(ISTEXT(J236),0,ROUND(J236,0))</f>
        <v>0</v>
      </c>
    </row>
    <row r="237" spans="2:18" ht="19.5" customHeight="1">
      <c r="B237" s="231">
        <v>180</v>
      </c>
      <c r="C237" s="268"/>
      <c r="D237" s="265" t="s">
        <v>319</v>
      </c>
      <c r="E237" s="1681">
        <v>5447</v>
      </c>
      <c r="F237" s="237"/>
      <c r="G237" s="237"/>
      <c r="H237" s="237"/>
      <c r="I237" s="311">
        <f t="shared" si="42"/>
        <v>0</v>
      </c>
      <c r="J237" s="1150"/>
      <c r="K237" s="1222"/>
      <c r="L237" s="295"/>
      <c r="O237" s="238">
        <f t="shared" si="43"/>
        <v>0</v>
      </c>
      <c r="P237" s="238">
        <f t="shared" si="43"/>
        <v>0</v>
      </c>
      <c r="Q237" s="238">
        <f t="shared" si="43"/>
        <v>0</v>
      </c>
      <c r="R237" s="238">
        <f t="shared" si="43"/>
        <v>0</v>
      </c>
    </row>
    <row r="238" spans="2:18" ht="19.5" customHeight="1">
      <c r="B238" s="231">
        <v>181</v>
      </c>
      <c r="C238" s="268"/>
      <c r="D238" s="292" t="s">
        <v>309</v>
      </c>
      <c r="E238" s="1681">
        <v>5446</v>
      </c>
      <c r="F238" s="237"/>
      <c r="G238" s="237"/>
      <c r="H238" s="237"/>
      <c r="I238" s="311">
        <f t="shared" si="42"/>
        <v>0</v>
      </c>
      <c r="J238" s="1150"/>
      <c r="K238" s="1222"/>
      <c r="L238" s="295"/>
      <c r="O238" s="238">
        <f t="shared" si="43"/>
        <v>0</v>
      </c>
      <c r="P238" s="238">
        <f t="shared" si="43"/>
        <v>0</v>
      </c>
      <c r="Q238" s="238">
        <f t="shared" si="43"/>
        <v>0</v>
      </c>
      <c r="R238" s="238">
        <f t="shared" si="43"/>
        <v>0</v>
      </c>
    </row>
    <row r="239" spans="2:19" ht="19.5" customHeight="1">
      <c r="B239" s="231">
        <v>182</v>
      </c>
      <c r="C239" s="268"/>
      <c r="D239" s="292" t="s">
        <v>320</v>
      </c>
      <c r="E239" s="1681">
        <v>5444</v>
      </c>
      <c r="F239" s="237"/>
      <c r="G239" s="237"/>
      <c r="H239" s="237"/>
      <c r="I239" s="311">
        <f t="shared" si="42"/>
        <v>0</v>
      </c>
      <c r="J239" s="1150"/>
      <c r="K239" s="1222"/>
      <c r="L239" s="272" t="str">
        <f>IF(J239&lt;0,ROUND(I239/J239,0)," ")</f>
        <v> </v>
      </c>
      <c r="O239" s="238">
        <f t="shared" si="43"/>
        <v>0</v>
      </c>
      <c r="P239" s="238">
        <f t="shared" si="43"/>
        <v>0</v>
      </c>
      <c r="Q239" s="238">
        <f t="shared" si="43"/>
        <v>0</v>
      </c>
      <c r="R239" s="238">
        <f t="shared" si="43"/>
        <v>0</v>
      </c>
      <c r="S239" s="273">
        <f>IF(ISTEXT(J239),0,ROUND(J239,0))</f>
        <v>0</v>
      </c>
    </row>
    <row r="240" spans="2:19" ht="19.5" customHeight="1">
      <c r="B240" s="231">
        <v>183</v>
      </c>
      <c r="C240" s="249"/>
      <c r="D240" s="280" t="s">
        <v>321</v>
      </c>
      <c r="E240" s="1684">
        <v>5448</v>
      </c>
      <c r="F240" s="237"/>
      <c r="G240" s="237"/>
      <c r="H240" s="237"/>
      <c r="I240" s="311">
        <f t="shared" si="42"/>
        <v>0</v>
      </c>
      <c r="J240" s="1150"/>
      <c r="K240" s="1222"/>
      <c r="L240" s="272" t="str">
        <f>IF(J240&lt;0,ROUND(I240/J240,0)," ")</f>
        <v> </v>
      </c>
      <c r="O240" s="238">
        <f t="shared" si="43"/>
        <v>0</v>
      </c>
      <c r="P240" s="238">
        <f t="shared" si="43"/>
        <v>0</v>
      </c>
      <c r="Q240" s="238">
        <f t="shared" si="43"/>
        <v>0</v>
      </c>
      <c r="R240" s="238">
        <f t="shared" si="43"/>
        <v>0</v>
      </c>
      <c r="S240" s="273">
        <f>IF(ISTEXT(J240),0,ROUND(J240,0))</f>
        <v>0</v>
      </c>
    </row>
    <row r="241" spans="2:18" ht="19.5" customHeight="1">
      <c r="B241" s="231">
        <v>184</v>
      </c>
      <c r="C241" s="249"/>
      <c r="D241" s="280" t="s">
        <v>166</v>
      </c>
      <c r="E241" s="1684">
        <v>5445</v>
      </c>
      <c r="F241" s="237"/>
      <c r="G241" s="237"/>
      <c r="H241" s="237"/>
      <c r="I241" s="311">
        <f t="shared" si="42"/>
        <v>0</v>
      </c>
      <c r="J241" s="1150"/>
      <c r="K241" s="1222"/>
      <c r="L241" s="295"/>
      <c r="O241" s="238">
        <f t="shared" si="43"/>
        <v>0</v>
      </c>
      <c r="P241" s="238">
        <f t="shared" si="43"/>
        <v>0</v>
      </c>
      <c r="Q241" s="238">
        <f t="shared" si="43"/>
        <v>0</v>
      </c>
      <c r="R241" s="238">
        <f t="shared" si="43"/>
        <v>0</v>
      </c>
    </row>
    <row r="242" spans="2:18" ht="19.5" customHeight="1">
      <c r="B242" s="231">
        <v>185</v>
      </c>
      <c r="C242" s="268"/>
      <c r="D242" s="313" t="s">
        <v>617</v>
      </c>
      <c r="E242" s="1681">
        <v>5443</v>
      </c>
      <c r="F242" s="237"/>
      <c r="G242" s="237"/>
      <c r="H242" s="237"/>
      <c r="I242" s="311">
        <f t="shared" si="42"/>
        <v>0</v>
      </c>
      <c r="J242" s="1150"/>
      <c r="K242" s="1222"/>
      <c r="L242" s="295"/>
      <c r="O242" s="238">
        <f t="shared" si="43"/>
        <v>0</v>
      </c>
      <c r="P242" s="238">
        <f t="shared" si="43"/>
        <v>0</v>
      </c>
      <c r="Q242" s="238">
        <f t="shared" si="43"/>
        <v>0</v>
      </c>
      <c r="R242" s="238">
        <f t="shared" si="43"/>
        <v>0</v>
      </c>
    </row>
    <row r="243" spans="2:19" ht="19.5" customHeight="1" thickBot="1">
      <c r="B243" s="231">
        <v>186</v>
      </c>
      <c r="C243" s="305" t="s">
        <v>167</v>
      </c>
      <c r="D243" s="283"/>
      <c r="E243" s="1676">
        <v>7016</v>
      </c>
      <c r="F243" s="315">
        <f>O243</f>
        <v>0</v>
      </c>
      <c r="G243" s="315">
        <f>P243</f>
        <v>0</v>
      </c>
      <c r="H243" s="315">
        <f>Q243</f>
        <v>0</v>
      </c>
      <c r="I243" s="315">
        <f>R243</f>
        <v>0</v>
      </c>
      <c r="J243" s="1151"/>
      <c r="K243" s="1223"/>
      <c r="L243" s="295"/>
      <c r="O243" s="296">
        <f>ROUND(SUM(O236:O242),0)</f>
        <v>0</v>
      </c>
      <c r="P243" s="296">
        <f>ROUND(SUM(P236:P242),0)</f>
        <v>0</v>
      </c>
      <c r="Q243" s="296">
        <f>ROUND(SUM(Q236:Q242),0)</f>
        <v>0</v>
      </c>
      <c r="R243" s="296">
        <f>ROUND(SUM(R236:R242),0)</f>
        <v>0</v>
      </c>
      <c r="S243" s="297">
        <f>ROUND(SUM(S236:S242),0)</f>
        <v>0</v>
      </c>
    </row>
    <row r="244" spans="2:12" ht="18.75">
      <c r="B244" s="231">
        <v>187</v>
      </c>
      <c r="C244" s="308" t="s">
        <v>324</v>
      </c>
      <c r="D244" s="265"/>
      <c r="E244" s="1674"/>
      <c r="F244" s="234"/>
      <c r="G244" s="234"/>
      <c r="H244" s="234"/>
      <c r="I244" s="234"/>
      <c r="J244" s="1149"/>
      <c r="K244" s="1221"/>
      <c r="L244" s="309"/>
    </row>
    <row r="245" spans="2:19" ht="19.5" customHeight="1">
      <c r="B245" s="231">
        <v>188</v>
      </c>
      <c r="C245" s="268"/>
      <c r="D245" s="265" t="s">
        <v>318</v>
      </c>
      <c r="E245" s="1705">
        <v>5461</v>
      </c>
      <c r="F245" s="237"/>
      <c r="G245" s="237"/>
      <c r="H245" s="237"/>
      <c r="I245" s="311">
        <f aca="true" t="shared" si="44" ref="I245:I251">+F245+G245-H245</f>
        <v>0</v>
      </c>
      <c r="J245" s="312"/>
      <c r="K245" s="1222"/>
      <c r="L245" s="272" t="str">
        <f>IF(J245&lt;0,ROUND(I245/J245,0)," ")</f>
        <v> </v>
      </c>
      <c r="O245" s="238">
        <f aca="true" t="shared" si="45" ref="O245:R251">ROUND(F245,0)</f>
        <v>0</v>
      </c>
      <c r="P245" s="238">
        <f t="shared" si="45"/>
        <v>0</v>
      </c>
      <c r="Q245" s="238">
        <f t="shared" si="45"/>
        <v>0</v>
      </c>
      <c r="R245" s="238">
        <f t="shared" si="45"/>
        <v>0</v>
      </c>
      <c r="S245" s="273">
        <f>IF(ISTEXT(J245),0,ROUND(J245,0))</f>
        <v>0</v>
      </c>
    </row>
    <row r="246" spans="2:18" ht="19.5" customHeight="1">
      <c r="B246" s="231">
        <v>189</v>
      </c>
      <c r="C246" s="268"/>
      <c r="D246" s="265" t="s">
        <v>319</v>
      </c>
      <c r="E246" s="1681">
        <v>5467</v>
      </c>
      <c r="F246" s="237"/>
      <c r="G246" s="237"/>
      <c r="H246" s="237"/>
      <c r="I246" s="311">
        <f t="shared" si="44"/>
        <v>0</v>
      </c>
      <c r="J246" s="1149"/>
      <c r="K246" s="1222"/>
      <c r="L246" s="309"/>
      <c r="O246" s="238">
        <f t="shared" si="45"/>
        <v>0</v>
      </c>
      <c r="P246" s="238">
        <f t="shared" si="45"/>
        <v>0</v>
      </c>
      <c r="Q246" s="238">
        <f t="shared" si="45"/>
        <v>0</v>
      </c>
      <c r="R246" s="238">
        <f t="shared" si="45"/>
        <v>0</v>
      </c>
    </row>
    <row r="247" spans="2:18" ht="19.5" customHeight="1">
      <c r="B247" s="231">
        <v>190</v>
      </c>
      <c r="C247" s="268"/>
      <c r="D247" s="292" t="s">
        <v>309</v>
      </c>
      <c r="E247" s="1681">
        <v>5466</v>
      </c>
      <c r="F247" s="237"/>
      <c r="G247" s="237"/>
      <c r="H247" s="237"/>
      <c r="I247" s="311">
        <f t="shared" si="44"/>
        <v>0</v>
      </c>
      <c r="J247" s="1149"/>
      <c r="K247" s="1222"/>
      <c r="L247" s="309"/>
      <c r="O247" s="238">
        <f t="shared" si="45"/>
        <v>0</v>
      </c>
      <c r="P247" s="238">
        <f t="shared" si="45"/>
        <v>0</v>
      </c>
      <c r="Q247" s="238">
        <f t="shared" si="45"/>
        <v>0</v>
      </c>
      <c r="R247" s="238">
        <f t="shared" si="45"/>
        <v>0</v>
      </c>
    </row>
    <row r="248" spans="2:19" ht="19.5" customHeight="1">
      <c r="B248" s="231">
        <v>191</v>
      </c>
      <c r="C248" s="268"/>
      <c r="D248" s="292" t="s">
        <v>320</v>
      </c>
      <c r="E248" s="1681">
        <v>5464</v>
      </c>
      <c r="F248" s="237"/>
      <c r="G248" s="237"/>
      <c r="H248" s="237"/>
      <c r="I248" s="311">
        <f t="shared" si="44"/>
        <v>0</v>
      </c>
      <c r="J248" s="1150"/>
      <c r="K248" s="1222"/>
      <c r="L248" s="272" t="str">
        <f>IF(J248&lt;0,ROUND(I248/J248,0)," ")</f>
        <v> </v>
      </c>
      <c r="O248" s="238">
        <f t="shared" si="45"/>
        <v>0</v>
      </c>
      <c r="P248" s="238">
        <f t="shared" si="45"/>
        <v>0</v>
      </c>
      <c r="Q248" s="238">
        <f t="shared" si="45"/>
        <v>0</v>
      </c>
      <c r="R248" s="238">
        <f t="shared" si="45"/>
        <v>0</v>
      </c>
      <c r="S248" s="273">
        <f>IF(ISTEXT(J248),0,ROUND(J248,0))</f>
        <v>0</v>
      </c>
    </row>
    <row r="249" spans="2:19" ht="19.5" customHeight="1">
      <c r="B249" s="231">
        <v>192</v>
      </c>
      <c r="C249" s="249"/>
      <c r="D249" s="280" t="s">
        <v>321</v>
      </c>
      <c r="E249" s="1684">
        <v>5468</v>
      </c>
      <c r="F249" s="237"/>
      <c r="G249" s="237"/>
      <c r="H249" s="237"/>
      <c r="I249" s="311">
        <f t="shared" si="44"/>
        <v>0</v>
      </c>
      <c r="J249" s="1150"/>
      <c r="K249" s="1222"/>
      <c r="L249" s="272" t="str">
        <f>IF(J249&lt;0,ROUND(I249/J249,0)," ")</f>
        <v> </v>
      </c>
      <c r="O249" s="238">
        <f t="shared" si="45"/>
        <v>0</v>
      </c>
      <c r="P249" s="238">
        <f t="shared" si="45"/>
        <v>0</v>
      </c>
      <c r="Q249" s="238">
        <f t="shared" si="45"/>
        <v>0</v>
      </c>
      <c r="R249" s="238">
        <f t="shared" si="45"/>
        <v>0</v>
      </c>
      <c r="S249" s="273">
        <f>IF(ISTEXT(J249),0,ROUND(J249,0))</f>
        <v>0</v>
      </c>
    </row>
    <row r="250" spans="2:18" ht="19.5" customHeight="1">
      <c r="B250" s="231">
        <v>193</v>
      </c>
      <c r="C250" s="249"/>
      <c r="D250" s="280" t="s">
        <v>322</v>
      </c>
      <c r="E250" s="1684">
        <v>5465</v>
      </c>
      <c r="F250" s="237"/>
      <c r="G250" s="237"/>
      <c r="H250" s="237"/>
      <c r="I250" s="311">
        <f t="shared" si="44"/>
        <v>0</v>
      </c>
      <c r="J250" s="1150"/>
      <c r="K250" s="1222"/>
      <c r="L250" s="295"/>
      <c r="O250" s="238">
        <f t="shared" si="45"/>
        <v>0</v>
      </c>
      <c r="P250" s="238">
        <f t="shared" si="45"/>
        <v>0</v>
      </c>
      <c r="Q250" s="238">
        <f t="shared" si="45"/>
        <v>0</v>
      </c>
      <c r="R250" s="238">
        <f t="shared" si="45"/>
        <v>0</v>
      </c>
    </row>
    <row r="251" spans="2:18" ht="19.5" customHeight="1">
      <c r="B251" s="231">
        <v>194</v>
      </c>
      <c r="C251" s="268"/>
      <c r="D251" s="313" t="s">
        <v>617</v>
      </c>
      <c r="E251" s="1681">
        <v>5463</v>
      </c>
      <c r="F251" s="237"/>
      <c r="G251" s="237"/>
      <c r="H251" s="237"/>
      <c r="I251" s="311">
        <f t="shared" si="44"/>
        <v>0</v>
      </c>
      <c r="J251" s="1150"/>
      <c r="K251" s="1222"/>
      <c r="L251" s="295"/>
      <c r="O251" s="238">
        <f t="shared" si="45"/>
        <v>0</v>
      </c>
      <c r="P251" s="238">
        <f t="shared" si="45"/>
        <v>0</v>
      </c>
      <c r="Q251" s="238">
        <f t="shared" si="45"/>
        <v>0</v>
      </c>
      <c r="R251" s="238">
        <f t="shared" si="45"/>
        <v>0</v>
      </c>
    </row>
    <row r="252" spans="2:19" ht="19.5" customHeight="1" thickBot="1">
      <c r="B252" s="231">
        <v>195</v>
      </c>
      <c r="C252" s="1665" t="s">
        <v>325</v>
      </c>
      <c r="D252" s="1329"/>
      <c r="E252" s="1718"/>
      <c r="F252" s="1595">
        <f>O252</f>
        <v>0</v>
      </c>
      <c r="G252" s="1595">
        <f>P252</f>
        <v>0</v>
      </c>
      <c r="H252" s="1595">
        <f>Q252</f>
        <v>0</v>
      </c>
      <c r="I252" s="1595">
        <f>R252</f>
        <v>0</v>
      </c>
      <c r="J252" s="1666"/>
      <c r="K252" s="1229"/>
      <c r="L252" s="295"/>
      <c r="O252" s="296">
        <f>ROUND(SUM(O245:O251),0)</f>
        <v>0</v>
      </c>
      <c r="P252" s="296">
        <f>ROUND(SUM(P245:P251),0)</f>
        <v>0</v>
      </c>
      <c r="Q252" s="296">
        <f>ROUND(SUM(Q245:Q251),0)</f>
        <v>0</v>
      </c>
      <c r="R252" s="296">
        <f>ROUND(SUM(R245:R251),0)</f>
        <v>0</v>
      </c>
      <c r="S252" s="297">
        <f>ROUND(SUM(S245:S251),0)</f>
        <v>0</v>
      </c>
    </row>
    <row r="253" spans="2:12" ht="21.75" customHeight="1">
      <c r="B253" s="231">
        <v>196</v>
      </c>
      <c r="C253" s="319" t="s">
        <v>168</v>
      </c>
      <c r="D253" s="265"/>
      <c r="E253" s="1674"/>
      <c r="F253" s="287"/>
      <c r="G253" s="287"/>
      <c r="H253" s="287"/>
      <c r="I253" s="287"/>
      <c r="J253" s="1146"/>
      <c r="K253" s="1615"/>
      <c r="L253" s="289"/>
    </row>
    <row r="254" spans="2:18" ht="21.75" customHeight="1">
      <c r="B254" s="231">
        <v>197</v>
      </c>
      <c r="C254" s="268"/>
      <c r="D254" s="265" t="s">
        <v>169</v>
      </c>
      <c r="E254" s="1705">
        <v>5481</v>
      </c>
      <c r="F254" s="237"/>
      <c r="G254" s="237"/>
      <c r="H254" s="237"/>
      <c r="I254" s="311">
        <f aca="true" t="shared" si="46" ref="I254:I261">+F254+G254-H254</f>
        <v>0</v>
      </c>
      <c r="J254" s="1157"/>
      <c r="K254" s="1222"/>
      <c r="L254" s="347"/>
      <c r="O254" s="238">
        <f aca="true" t="shared" si="47" ref="O254:R261">ROUND(F254,0)</f>
        <v>0</v>
      </c>
      <c r="P254" s="238">
        <f t="shared" si="47"/>
        <v>0</v>
      </c>
      <c r="Q254" s="238">
        <f t="shared" si="47"/>
        <v>0</v>
      </c>
      <c r="R254" s="238">
        <f t="shared" si="47"/>
        <v>0</v>
      </c>
    </row>
    <row r="255" spans="2:18" ht="21.75" customHeight="1">
      <c r="B255" s="231">
        <v>198</v>
      </c>
      <c r="C255" s="268"/>
      <c r="D255" s="265" t="s">
        <v>170</v>
      </c>
      <c r="E255" s="1681">
        <v>5482</v>
      </c>
      <c r="F255" s="237"/>
      <c r="G255" s="237"/>
      <c r="H255" s="237"/>
      <c r="I255" s="311">
        <f t="shared" si="46"/>
        <v>0</v>
      </c>
      <c r="J255" s="1157"/>
      <c r="K255" s="1222"/>
      <c r="L255" s="347"/>
      <c r="O255" s="238">
        <f t="shared" si="47"/>
        <v>0</v>
      </c>
      <c r="P255" s="238">
        <f t="shared" si="47"/>
        <v>0</v>
      </c>
      <c r="Q255" s="238">
        <f t="shared" si="47"/>
        <v>0</v>
      </c>
      <c r="R255" s="238">
        <f t="shared" si="47"/>
        <v>0</v>
      </c>
    </row>
    <row r="256" spans="2:18" ht="21.75" customHeight="1">
      <c r="B256" s="231">
        <v>199</v>
      </c>
      <c r="C256" s="268"/>
      <c r="D256" s="292" t="s">
        <v>171</v>
      </c>
      <c r="E256" s="1681">
        <v>5483</v>
      </c>
      <c r="F256" s="237"/>
      <c r="G256" s="237"/>
      <c r="H256" s="237"/>
      <c r="I256" s="311">
        <f t="shared" si="46"/>
        <v>0</v>
      </c>
      <c r="J256" s="1157"/>
      <c r="K256" s="1222"/>
      <c r="L256" s="347"/>
      <c r="O256" s="238">
        <f t="shared" si="47"/>
        <v>0</v>
      </c>
      <c r="P256" s="238">
        <f t="shared" si="47"/>
        <v>0</v>
      </c>
      <c r="Q256" s="238">
        <f t="shared" si="47"/>
        <v>0</v>
      </c>
      <c r="R256" s="238">
        <f t="shared" si="47"/>
        <v>0</v>
      </c>
    </row>
    <row r="257" spans="2:18" ht="21.75" customHeight="1">
      <c r="B257" s="231">
        <v>200</v>
      </c>
      <c r="C257" s="268"/>
      <c r="D257" s="292" t="s">
        <v>172</v>
      </c>
      <c r="E257" s="1681">
        <v>5484</v>
      </c>
      <c r="F257" s="237"/>
      <c r="G257" s="237"/>
      <c r="H257" s="237"/>
      <c r="I257" s="311">
        <f t="shared" si="46"/>
        <v>0</v>
      </c>
      <c r="J257" s="1157"/>
      <c r="K257" s="1222"/>
      <c r="L257" s="347"/>
      <c r="O257" s="238">
        <f t="shared" si="47"/>
        <v>0</v>
      </c>
      <c r="P257" s="238">
        <f t="shared" si="47"/>
        <v>0</v>
      </c>
      <c r="Q257" s="238">
        <f t="shared" si="47"/>
        <v>0</v>
      </c>
      <c r="R257" s="238">
        <f t="shared" si="47"/>
        <v>0</v>
      </c>
    </row>
    <row r="258" spans="2:18" ht="21.75" customHeight="1">
      <c r="B258" s="231">
        <v>201</v>
      </c>
      <c r="C258" s="249"/>
      <c r="D258" s="280" t="s">
        <v>173</v>
      </c>
      <c r="E258" s="1684">
        <v>5485</v>
      </c>
      <c r="F258" s="237"/>
      <c r="G258" s="237"/>
      <c r="H258" s="237"/>
      <c r="I258" s="311">
        <f t="shared" si="46"/>
        <v>0</v>
      </c>
      <c r="J258" s="1157"/>
      <c r="K258" s="1222"/>
      <c r="L258" s="347"/>
      <c r="O258" s="238">
        <f t="shared" si="47"/>
        <v>0</v>
      </c>
      <c r="P258" s="238">
        <f t="shared" si="47"/>
        <v>0</v>
      </c>
      <c r="Q258" s="238">
        <f t="shared" si="47"/>
        <v>0</v>
      </c>
      <c r="R258" s="238">
        <f t="shared" si="47"/>
        <v>0</v>
      </c>
    </row>
    <row r="259" spans="2:18" ht="21.75" customHeight="1">
      <c r="B259" s="231">
        <v>202</v>
      </c>
      <c r="C259" s="268"/>
      <c r="D259" s="292" t="s">
        <v>174</v>
      </c>
      <c r="E259" s="1681">
        <v>5486</v>
      </c>
      <c r="F259" s="237"/>
      <c r="G259" s="237"/>
      <c r="H259" s="237"/>
      <c r="I259" s="311">
        <f t="shared" si="46"/>
        <v>0</v>
      </c>
      <c r="J259" s="1157"/>
      <c r="K259" s="1222"/>
      <c r="L259" s="347"/>
      <c r="O259" s="238">
        <f t="shared" si="47"/>
        <v>0</v>
      </c>
      <c r="P259" s="238">
        <f t="shared" si="47"/>
        <v>0</v>
      </c>
      <c r="Q259" s="238">
        <f t="shared" si="47"/>
        <v>0</v>
      </c>
      <c r="R259" s="238">
        <f t="shared" si="47"/>
        <v>0</v>
      </c>
    </row>
    <row r="260" spans="2:18" ht="21.75" customHeight="1">
      <c r="B260" s="231">
        <v>203</v>
      </c>
      <c r="C260" s="268"/>
      <c r="D260" s="293" t="s">
        <v>175</v>
      </c>
      <c r="E260" s="1681">
        <v>5487</v>
      </c>
      <c r="F260" s="237"/>
      <c r="G260" s="237"/>
      <c r="H260" s="237"/>
      <c r="I260" s="311">
        <f t="shared" si="46"/>
        <v>0</v>
      </c>
      <c r="J260" s="1157"/>
      <c r="K260" s="1222"/>
      <c r="L260" s="347"/>
      <c r="O260" s="238">
        <f t="shared" si="47"/>
        <v>0</v>
      </c>
      <c r="P260" s="238">
        <f t="shared" si="47"/>
        <v>0</v>
      </c>
      <c r="Q260" s="238">
        <f t="shared" si="47"/>
        <v>0</v>
      </c>
      <c r="R260" s="238">
        <f t="shared" si="47"/>
        <v>0</v>
      </c>
    </row>
    <row r="261" spans="2:18" ht="21.75" customHeight="1">
      <c r="B261" s="231">
        <v>204</v>
      </c>
      <c r="C261" s="235"/>
      <c r="D261" s="280" t="s">
        <v>176</v>
      </c>
      <c r="E261" s="1684">
        <v>5488</v>
      </c>
      <c r="F261" s="237"/>
      <c r="G261" s="237"/>
      <c r="H261" s="237"/>
      <c r="I261" s="311">
        <f t="shared" si="46"/>
        <v>0</v>
      </c>
      <c r="J261" s="1157"/>
      <c r="K261" s="1222"/>
      <c r="L261" s="347"/>
      <c r="O261" s="238">
        <f t="shared" si="47"/>
        <v>0</v>
      </c>
      <c r="P261" s="238">
        <f t="shared" si="47"/>
        <v>0</v>
      </c>
      <c r="Q261" s="238">
        <f t="shared" si="47"/>
        <v>0</v>
      </c>
      <c r="R261" s="238">
        <f t="shared" si="47"/>
        <v>0</v>
      </c>
    </row>
    <row r="262" spans="2:18" ht="21.75" customHeight="1" thickBot="1">
      <c r="B262" s="231">
        <v>205</v>
      </c>
      <c r="C262" s="281" t="s">
        <v>177</v>
      </c>
      <c r="D262" s="313"/>
      <c r="E262" s="1719">
        <v>7020</v>
      </c>
      <c r="F262" s="241">
        <f>O262</f>
        <v>0</v>
      </c>
      <c r="G262" s="241">
        <f>P262</f>
        <v>0</v>
      </c>
      <c r="H262" s="241">
        <f>Q262</f>
        <v>0</v>
      </c>
      <c r="I262" s="311">
        <f>R262</f>
        <v>0</v>
      </c>
      <c r="J262" s="1157"/>
      <c r="K262" s="1223"/>
      <c r="L262" s="347"/>
      <c r="O262" s="251">
        <f>ROUND(SUM(O254+O255+O256+O257+O258+O259+O260+O261),0)</f>
        <v>0</v>
      </c>
      <c r="P262" s="251">
        <f>ROUND(SUM(P254+P255+P256+P257+P258+P259+P260+P261),0)</f>
        <v>0</v>
      </c>
      <c r="Q262" s="251">
        <f>ROUND(SUM(Q254+Q255+Q256+Q257+Q258+Q259+Q260+Q261),0)</f>
        <v>0</v>
      </c>
      <c r="R262" s="251">
        <f>ROUND(SUM(R254+R255+R256+R257+R258+R259+R260+R261),0)</f>
        <v>0</v>
      </c>
    </row>
    <row r="263" spans="2:18" ht="21.75" customHeight="1" thickBot="1">
      <c r="B263" s="231">
        <v>206</v>
      </c>
      <c r="C263" s="348" t="s">
        <v>720</v>
      </c>
      <c r="D263" s="349"/>
      <c r="E263" s="1720">
        <v>9904</v>
      </c>
      <c r="F263" s="350"/>
      <c r="G263" s="350"/>
      <c r="H263" s="350"/>
      <c r="I263" s="351">
        <f>+F263+G263-H263</f>
        <v>0</v>
      </c>
      <c r="J263" s="1158"/>
      <c r="K263" s="1224"/>
      <c r="L263" s="347"/>
      <c r="O263" s="238">
        <f>ROUND(F263,0)</f>
        <v>0</v>
      </c>
      <c r="P263" s="238">
        <f>ROUND(G263,0)</f>
        <v>0</v>
      </c>
      <c r="Q263" s="238">
        <f>ROUND(H263,0)</f>
        <v>0</v>
      </c>
      <c r="R263" s="238">
        <f>ROUND(I263,0)</f>
        <v>0</v>
      </c>
    </row>
    <row r="264" spans="2:19" ht="19.5" thickBot="1">
      <c r="B264" s="231">
        <v>207</v>
      </c>
      <c r="C264" s="1559" t="s">
        <v>700</v>
      </c>
      <c r="D264" s="1560"/>
      <c r="E264" s="1721">
        <v>9902</v>
      </c>
      <c r="F264" s="1562">
        <f>O264</f>
        <v>0</v>
      </c>
      <c r="G264" s="1562">
        <f aca="true" t="shared" si="48" ref="F264:I265">P264</f>
        <v>0</v>
      </c>
      <c r="H264" s="1562">
        <f t="shared" si="48"/>
        <v>0</v>
      </c>
      <c r="I264" s="1562">
        <f t="shared" si="48"/>
        <v>0</v>
      </c>
      <c r="J264" s="1562">
        <f>_C000874+_C000872+_C000886</f>
        <v>0</v>
      </c>
      <c r="K264" s="1224"/>
      <c r="L264" s="347"/>
      <c r="O264" s="251">
        <f>ROUND(SUM(O223+O243+O262+O263+O252),0)</f>
        <v>0</v>
      </c>
      <c r="P264" s="251">
        <f>ROUND(SUM(P223+P243+P262+P263+P252),0)</f>
        <v>0</v>
      </c>
      <c r="Q264" s="251">
        <f>ROUND(SUM(Q223+Q243+Q262+Q263+Q252),0)</f>
        <v>0</v>
      </c>
      <c r="R264" s="251">
        <f>ROUND(SUM(R223+R243+R262+R263+R252),0)</f>
        <v>0</v>
      </c>
      <c r="S264" s="251">
        <f>ROUND(SUM(S223+S236+S245),0)</f>
        <v>0</v>
      </c>
    </row>
    <row r="265" spans="2:19" ht="19.5" thickBot="1">
      <c r="B265" s="231">
        <v>208</v>
      </c>
      <c r="C265" s="1586" t="s">
        <v>178</v>
      </c>
      <c r="D265" s="349"/>
      <c r="E265" s="1563"/>
      <c r="F265" s="1562">
        <f t="shared" si="48"/>
        <v>0</v>
      </c>
      <c r="G265" s="1562">
        <f t="shared" si="48"/>
        <v>0</v>
      </c>
      <c r="H265" s="1562">
        <f t="shared" si="48"/>
        <v>0</v>
      </c>
      <c r="I265" s="351">
        <f t="shared" si="48"/>
        <v>0</v>
      </c>
      <c r="J265" s="351">
        <f>S265</f>
        <v>0</v>
      </c>
      <c r="K265" s="1224"/>
      <c r="L265" s="355"/>
      <c r="O265" s="251">
        <f>ROUND(SUM(O147+O264),0)</f>
        <v>0</v>
      </c>
      <c r="P265" s="251">
        <f>ROUND(SUM(P147+P264),0)</f>
        <v>0</v>
      </c>
      <c r="Q265" s="251">
        <f>ROUND(SUM(Q147+Q264),0)</f>
        <v>0</v>
      </c>
      <c r="R265" s="251">
        <f>ROUND(SUM(R147+R264),0)</f>
        <v>0</v>
      </c>
      <c r="S265" s="251">
        <f>ROUND(SUM(S147+S264),0)</f>
        <v>0</v>
      </c>
    </row>
    <row r="266" spans="2:18" s="1412" customFormat="1" ht="14.25" customHeight="1">
      <c r="B266" s="1413"/>
      <c r="C266" s="359"/>
      <c r="D266" s="1408"/>
      <c r="E266" s="359"/>
      <c r="F266" s="1409"/>
      <c r="G266" s="1409"/>
      <c r="H266" s="1409"/>
      <c r="I266" s="1409"/>
      <c r="J266" s="1410"/>
      <c r="K266" s="1411"/>
      <c r="L266" s="359"/>
      <c r="O266" s="1414"/>
      <c r="P266" s="1414"/>
      <c r="Q266" s="1414"/>
      <c r="R266" s="1414"/>
    </row>
    <row r="267" spans="3:4" ht="19.5" customHeight="1">
      <c r="C267" s="206" t="s">
        <v>265</v>
      </c>
      <c r="D267" s="922">
        <f>+$D$1</f>
        <v>0</v>
      </c>
    </row>
    <row r="268" spans="3:5" ht="19.5" customHeight="1">
      <c r="C268" s="206" t="s">
        <v>266</v>
      </c>
      <c r="D268" s="207">
        <f>+$D$2</f>
        <v>0</v>
      </c>
      <c r="E268" s="205" t="str">
        <f>Schedule_A!$A$3</f>
        <v>NURSING FACILITY 2019 COST REPORT</v>
      </c>
    </row>
    <row r="269" spans="1:18" s="252" customFormat="1" ht="20.25" customHeight="1">
      <c r="A269" s="211" t="s">
        <v>198</v>
      </c>
      <c r="B269" s="212"/>
      <c r="C269" s="212"/>
      <c r="D269" s="212"/>
      <c r="E269" s="212"/>
      <c r="F269" s="212"/>
      <c r="G269" s="212"/>
      <c r="H269" s="212"/>
      <c r="I269" s="212"/>
      <c r="J269" s="401"/>
      <c r="K269" s="1208"/>
      <c r="L269" s="359"/>
      <c r="O269" s="253"/>
      <c r="P269" s="253"/>
      <c r="Q269" s="253"/>
      <c r="R269" s="253"/>
    </row>
    <row r="270" spans="1:18" s="252" customFormat="1" ht="10.5" customHeight="1">
      <c r="A270" s="211"/>
      <c r="B270" s="212"/>
      <c r="C270" s="212"/>
      <c r="D270" s="212"/>
      <c r="E270" s="212"/>
      <c r="F270" s="212"/>
      <c r="G270" s="212"/>
      <c r="H270" s="212"/>
      <c r="I270" s="212"/>
      <c r="J270" s="401"/>
      <c r="K270" s="1208"/>
      <c r="L270" s="359"/>
      <c r="O270" s="253"/>
      <c r="P270" s="253"/>
      <c r="Q270" s="253"/>
      <c r="R270" s="253"/>
    </row>
    <row r="271" spans="1:18" s="1592" customFormat="1" ht="20.25" customHeight="1">
      <c r="A271" s="1548" t="s">
        <v>659</v>
      </c>
      <c r="B271" s="1548"/>
      <c r="C271" s="1548"/>
      <c r="D271" s="1548"/>
      <c r="E271" s="1548"/>
      <c r="F271" s="1548"/>
      <c r="G271" s="1548"/>
      <c r="H271" s="1548"/>
      <c r="I271" s="1548"/>
      <c r="J271" s="1589"/>
      <c r="K271" s="1590"/>
      <c r="L271" s="1591"/>
      <c r="O271" s="1593"/>
      <c r="P271" s="1593"/>
      <c r="Q271" s="1593"/>
      <c r="R271" s="1593"/>
    </row>
    <row r="272" spans="2:18" s="252" customFormat="1" ht="14.25" customHeight="1" thickBot="1">
      <c r="B272" s="356"/>
      <c r="C272" s="357"/>
      <c r="D272" s="358"/>
      <c r="E272" s="359"/>
      <c r="F272" s="360"/>
      <c r="G272" s="360"/>
      <c r="H272" s="360"/>
      <c r="I272" s="360"/>
      <c r="J272" s="1103"/>
      <c r="K272" s="1230"/>
      <c r="L272" s="359"/>
      <c r="O272" s="253"/>
      <c r="P272" s="253"/>
      <c r="Q272" s="253"/>
      <c r="R272" s="253"/>
    </row>
    <row r="273" spans="2:12" ht="12" customHeight="1" thickBot="1">
      <c r="B273" s="1366"/>
      <c r="C273" s="1367"/>
      <c r="D273" s="1367"/>
      <c r="E273" s="1367"/>
      <c r="F273" s="1367"/>
      <c r="G273" s="1368"/>
      <c r="H273" s="1367"/>
      <c r="I273" s="1368"/>
      <c r="J273" s="1369"/>
      <c r="K273" s="1354"/>
      <c r="L273" s="285"/>
    </row>
    <row r="274" spans="2:12" ht="143.25" customHeight="1" thickBot="1">
      <c r="B274" s="1370" t="s">
        <v>200</v>
      </c>
      <c r="C274" s="1875" t="s">
        <v>772</v>
      </c>
      <c r="D274" s="1876"/>
      <c r="E274" s="1876"/>
      <c r="F274" s="1876"/>
      <c r="G274" s="1876"/>
      <c r="H274" s="1876"/>
      <c r="I274" s="1876"/>
      <c r="J274" s="1877"/>
      <c r="K274" s="1354"/>
      <c r="L274" s="208"/>
    </row>
    <row r="275" spans="2:12" ht="154.5" customHeight="1" thickBot="1">
      <c r="B275" s="1371" t="s">
        <v>203</v>
      </c>
      <c r="C275" s="1356" t="s">
        <v>665</v>
      </c>
      <c r="D275" s="1357"/>
      <c r="E275" s="1355"/>
      <c r="F275" s="1359"/>
      <c r="G275" s="1355"/>
      <c r="H275" s="1359" t="s">
        <v>649</v>
      </c>
      <c r="J275" s="1634" t="s">
        <v>751</v>
      </c>
      <c r="K275" s="1354"/>
      <c r="L275" s="365"/>
    </row>
    <row r="276" spans="2:12" ht="19.5" customHeight="1" thickBot="1">
      <c r="B276" s="1372">
        <v>209</v>
      </c>
      <c r="C276" s="1358" t="s">
        <v>673</v>
      </c>
      <c r="D276" s="1355"/>
      <c r="E276" s="1352"/>
      <c r="F276" s="1352"/>
      <c r="G276" s="1352"/>
      <c r="H276" s="1632"/>
      <c r="I276" s="1568"/>
      <c r="J276" s="1635"/>
      <c r="K276" s="1354"/>
      <c r="L276" s="365"/>
    </row>
    <row r="277" spans="2:12" ht="19.5" customHeight="1" thickBot="1">
      <c r="B277" s="1372">
        <v>210</v>
      </c>
      <c r="C277" s="1382" t="s">
        <v>650</v>
      </c>
      <c r="D277" s="1355"/>
      <c r="E277" s="1360"/>
      <c r="F277" s="1350"/>
      <c r="G277" s="1360"/>
      <c r="H277" s="1633"/>
      <c r="I277" s="1574"/>
      <c r="J277" s="1635"/>
      <c r="K277" s="1354"/>
      <c r="L277" s="365"/>
    </row>
    <row r="278" spans="2:12" ht="19.5" customHeight="1" thickBot="1">
      <c r="B278" s="1372">
        <v>211</v>
      </c>
      <c r="C278" s="1382" t="s">
        <v>691</v>
      </c>
      <c r="D278" s="1355"/>
      <c r="E278" s="1360"/>
      <c r="F278" s="1350"/>
      <c r="G278" s="1360"/>
      <c r="H278" s="1633"/>
      <c r="I278" s="1574"/>
      <c r="J278" s="1635"/>
      <c r="K278" s="1354"/>
      <c r="L278" s="365"/>
    </row>
    <row r="279" spans="2:12" ht="19.5" customHeight="1" thickBot="1">
      <c r="B279" s="1372">
        <v>212</v>
      </c>
      <c r="C279" s="1383" t="s">
        <v>651</v>
      </c>
      <c r="D279" s="1355"/>
      <c r="E279" s="1360"/>
      <c r="F279" s="1350"/>
      <c r="G279" s="1360"/>
      <c r="H279" s="1633"/>
      <c r="I279" s="1574"/>
      <c r="J279" s="1635"/>
      <c r="K279" s="1354"/>
      <c r="L279" s="365"/>
    </row>
    <row r="280" spans="2:12" ht="19.5" customHeight="1" thickBot="1">
      <c r="B280" s="1372">
        <v>213</v>
      </c>
      <c r="C280" s="1569" t="s">
        <v>652</v>
      </c>
      <c r="D280" s="1570"/>
      <c r="E280" s="1571"/>
      <c r="F280" s="1572"/>
      <c r="G280" s="1571"/>
      <c r="H280" s="1633"/>
      <c r="I280" s="1574"/>
      <c r="J280" s="1635"/>
      <c r="K280" s="1354"/>
      <c r="L280" s="365"/>
    </row>
    <row r="281" spans="2:18" s="1564" customFormat="1" ht="19.5" customHeight="1" thickBot="1">
      <c r="B281" s="1372">
        <v>214</v>
      </c>
      <c r="C281" s="1637" t="s">
        <v>715</v>
      </c>
      <c r="D281" s="1638"/>
      <c r="E281" s="1639"/>
      <c r="F281" s="1641"/>
      <c r="G281" s="1631"/>
      <c r="H281" s="1568"/>
      <c r="I281" s="1573"/>
      <c r="J281" s="1642"/>
      <c r="K281" s="1354"/>
      <c r="L281" s="1582"/>
      <c r="O281" s="1566"/>
      <c r="P281" s="1566"/>
      <c r="Q281" s="1566"/>
      <c r="R281" s="1566"/>
    </row>
    <row r="282" spans="2:18" s="1564" customFormat="1" ht="19.5" customHeight="1" thickBot="1">
      <c r="B282" s="1372">
        <v>215</v>
      </c>
      <c r="C282" s="1637" t="s">
        <v>716</v>
      </c>
      <c r="D282" s="1638"/>
      <c r="E282" s="1639"/>
      <c r="F282" s="1640"/>
      <c r="G282" s="1576"/>
      <c r="H282" s="1577"/>
      <c r="I282" s="1575"/>
      <c r="J282" s="1578"/>
      <c r="K282" s="1354"/>
      <c r="L282" s="1582"/>
      <c r="O282" s="1566"/>
      <c r="P282" s="1566"/>
      <c r="Q282" s="1566"/>
      <c r="R282" s="1566"/>
    </row>
    <row r="283" spans="2:12" ht="12" customHeight="1">
      <c r="B283" s="1426"/>
      <c r="C283" s="1362"/>
      <c r="D283" s="1364"/>
      <c r="E283" s="1364"/>
      <c r="F283" s="1365"/>
      <c r="G283" s="1364"/>
      <c r="H283" s="1363"/>
      <c r="I283" s="1364"/>
      <c r="J283" s="1427"/>
      <c r="K283" s="1354"/>
      <c r="L283" s="365"/>
    </row>
    <row r="284" spans="2:12" ht="41.25" customHeight="1">
      <c r="B284" s="1372">
        <v>216</v>
      </c>
      <c r="C284" s="1878" t="s">
        <v>653</v>
      </c>
      <c r="D284" s="1879"/>
      <c r="E284" s="1879"/>
      <c r="F284" s="1507">
        <f>_C903920+_C903921+_C903922+_C903923</f>
        <v>0</v>
      </c>
      <c r="G284" s="1352"/>
      <c r="H284" s="1352"/>
      <c r="I284" s="1352"/>
      <c r="J284" s="1428"/>
      <c r="K284" s="1354"/>
      <c r="L284" s="365"/>
    </row>
    <row r="285" spans="2:12" ht="60" customHeight="1">
      <c r="B285" s="1372">
        <v>217</v>
      </c>
      <c r="C285" s="1878" t="s">
        <v>752</v>
      </c>
      <c r="D285" s="1879"/>
      <c r="E285" s="1879"/>
      <c r="F285" s="1378">
        <f>SUM(J276:J281)</f>
        <v>0</v>
      </c>
      <c r="G285" s="1352"/>
      <c r="H285" s="1352"/>
      <c r="I285" s="1352"/>
      <c r="J285" s="1428"/>
      <c r="K285" s="1354"/>
      <c r="L285" s="365"/>
    </row>
    <row r="286" spans="2:12" ht="19.5" customHeight="1">
      <c r="B286" s="1372">
        <v>218</v>
      </c>
      <c r="C286" s="1353" t="s">
        <v>632</v>
      </c>
      <c r="D286" s="1351"/>
      <c r="E286" s="1361"/>
      <c r="F286" s="1378">
        <f>IF(ISERROR(_C901683/_C000443),0,_C901683/_C000443)</f>
        <v>0</v>
      </c>
      <c r="G286" s="1352"/>
      <c r="H286" s="1352"/>
      <c r="I286" s="1352"/>
      <c r="J286" s="1428"/>
      <c r="K286" s="1354"/>
      <c r="L286" s="365"/>
    </row>
    <row r="287" spans="2:12" ht="12" customHeight="1" thickBot="1">
      <c r="B287" s="1429"/>
      <c r="C287" s="1430"/>
      <c r="D287" s="1430"/>
      <c r="E287" s="1430"/>
      <c r="F287" s="1430"/>
      <c r="G287" s="1430"/>
      <c r="H287" s="1430"/>
      <c r="I287" s="1430"/>
      <c r="J287" s="1431"/>
      <c r="K287" s="1354"/>
      <c r="L287" s="285"/>
    </row>
    <row r="288" spans="2:18" s="1564" customFormat="1" ht="12" customHeight="1">
      <c r="B288" s="1565"/>
      <c r="C288" s="1565"/>
      <c r="D288" s="1565"/>
      <c r="E288" s="1565"/>
      <c r="F288" s="1565"/>
      <c r="G288" s="1565"/>
      <c r="H288" s="1565"/>
      <c r="I288" s="1565"/>
      <c r="J288" s="1565"/>
      <c r="K288" s="1354"/>
      <c r="L288" s="285"/>
      <c r="O288" s="1566"/>
      <c r="P288" s="1566"/>
      <c r="Q288" s="1566"/>
      <c r="R288" s="1566"/>
    </row>
    <row r="289" spans="3:4" ht="19.5" customHeight="1">
      <c r="C289" s="206" t="s">
        <v>265</v>
      </c>
      <c r="D289" s="922">
        <f>+$D$1</f>
        <v>0</v>
      </c>
    </row>
    <row r="290" spans="3:5" ht="19.5" customHeight="1">
      <c r="C290" s="206" t="s">
        <v>266</v>
      </c>
      <c r="D290" s="207">
        <f>+$D$2</f>
        <v>0</v>
      </c>
      <c r="E290" s="205" t="str">
        <f>Schedule_A!$A$3</f>
        <v>NURSING FACILITY 2019 COST REPORT</v>
      </c>
    </row>
    <row r="291" spans="3:5" ht="13.5" customHeight="1">
      <c r="C291" s="206"/>
      <c r="D291" s="210"/>
      <c r="E291" s="208"/>
    </row>
    <row r="292" spans="1:12" ht="15" customHeight="1">
      <c r="A292" s="211" t="s">
        <v>198</v>
      </c>
      <c r="B292" s="212"/>
      <c r="C292" s="212"/>
      <c r="D292" s="212"/>
      <c r="E292" s="212"/>
      <c r="F292" s="212"/>
      <c r="G292" s="212"/>
      <c r="H292" s="212"/>
      <c r="I292" s="212"/>
      <c r="J292" s="401"/>
      <c r="L292" s="212"/>
    </row>
    <row r="293" spans="1:18" s="1592" customFormat="1" ht="25.5" customHeight="1" thickBot="1">
      <c r="A293" s="1548" t="s">
        <v>341</v>
      </c>
      <c r="B293" s="1548"/>
      <c r="C293" s="1548"/>
      <c r="D293" s="1548"/>
      <c r="E293" s="1548"/>
      <c r="F293" s="1548"/>
      <c r="G293" s="1548"/>
      <c r="H293" s="1548"/>
      <c r="I293" s="1548"/>
      <c r="J293" s="1589"/>
      <c r="K293" s="1590"/>
      <c r="L293" s="1548"/>
      <c r="O293" s="1593"/>
      <c r="P293" s="1593"/>
      <c r="Q293" s="1593"/>
      <c r="R293" s="1593"/>
    </row>
    <row r="294" spans="1:12" ht="67.5" customHeight="1">
      <c r="A294" s="213"/>
      <c r="B294" s="256" t="s">
        <v>200</v>
      </c>
      <c r="C294" s="215"/>
      <c r="D294" s="216"/>
      <c r="E294" s="217" t="s">
        <v>464</v>
      </c>
      <c r="F294" s="217" t="s">
        <v>193</v>
      </c>
      <c r="G294" s="218" t="s">
        <v>468</v>
      </c>
      <c r="H294" s="219"/>
      <c r="I294" s="257" t="s">
        <v>201</v>
      </c>
      <c r="J294" s="1092"/>
      <c r="K294" s="1085" t="s">
        <v>202</v>
      </c>
      <c r="L294" s="258"/>
    </row>
    <row r="295" spans="1:12" ht="15.75">
      <c r="A295" s="213"/>
      <c r="B295" s="221" t="s">
        <v>203</v>
      </c>
      <c r="C295" s="222" t="s">
        <v>464</v>
      </c>
      <c r="D295" s="223"/>
      <c r="E295" s="224" t="s">
        <v>204</v>
      </c>
      <c r="F295" s="224" t="s">
        <v>205</v>
      </c>
      <c r="G295" s="224" t="s">
        <v>471</v>
      </c>
      <c r="H295" s="224" t="s">
        <v>472</v>
      </c>
      <c r="I295" s="260" t="s">
        <v>193</v>
      </c>
      <c r="J295" s="1093" t="s">
        <v>144</v>
      </c>
      <c r="K295" s="260"/>
      <c r="L295" s="261"/>
    </row>
    <row r="296" spans="1:12" ht="15" customHeight="1">
      <c r="A296" s="213"/>
      <c r="B296" s="226"/>
      <c r="C296" s="227"/>
      <c r="D296" s="228"/>
      <c r="E296" s="229" t="s">
        <v>473</v>
      </c>
      <c r="F296" s="229" t="s">
        <v>474</v>
      </c>
      <c r="G296" s="229" t="s">
        <v>475</v>
      </c>
      <c r="H296" s="229" t="s">
        <v>476</v>
      </c>
      <c r="I296" s="262" t="s">
        <v>477</v>
      </c>
      <c r="J296" s="1094" t="s">
        <v>478</v>
      </c>
      <c r="K296" s="262" t="s">
        <v>479</v>
      </c>
      <c r="L296" s="263"/>
    </row>
    <row r="297" spans="2:12" ht="15" customHeight="1">
      <c r="B297" s="231">
        <v>219</v>
      </c>
      <c r="C297" s="319" t="s">
        <v>342</v>
      </c>
      <c r="D297" s="265"/>
      <c r="E297" s="287"/>
      <c r="F297" s="287"/>
      <c r="G297" s="287"/>
      <c r="H297" s="287"/>
      <c r="I297" s="288"/>
      <c r="J297" s="1096"/>
      <c r="K297" s="1218"/>
      <c r="L297" s="289"/>
    </row>
    <row r="298" spans="2:19" ht="18" customHeight="1">
      <c r="B298" s="231">
        <v>220</v>
      </c>
      <c r="C298" s="268"/>
      <c r="D298" s="265" t="s">
        <v>318</v>
      </c>
      <c r="E298" s="310">
        <v>6221</v>
      </c>
      <c r="F298" s="269"/>
      <c r="G298" s="269"/>
      <c r="H298" s="269"/>
      <c r="I298" s="352">
        <f aca="true" t="shared" si="49" ref="I298:I303">+F298+G298-H298</f>
        <v>0</v>
      </c>
      <c r="J298" s="312"/>
      <c r="K298" s="1222"/>
      <c r="L298" s="272" t="str">
        <f>IF(J298&lt;0,ROUND(I298/J298,0)," ")</f>
        <v> </v>
      </c>
      <c r="O298" s="238">
        <f aca="true" t="shared" si="50" ref="O298:R303">ROUND(F298,0)</f>
        <v>0</v>
      </c>
      <c r="P298" s="238">
        <f t="shared" si="50"/>
        <v>0</v>
      </c>
      <c r="Q298" s="238">
        <f t="shared" si="50"/>
        <v>0</v>
      </c>
      <c r="R298" s="238">
        <f t="shared" si="50"/>
        <v>0</v>
      </c>
      <c r="S298" s="273">
        <f>IF(ISTEXT(J298),0,ROUND(J298,0))</f>
        <v>0</v>
      </c>
    </row>
    <row r="299" spans="2:18" ht="18" customHeight="1">
      <c r="B299" s="231">
        <v>221</v>
      </c>
      <c r="C299" s="268"/>
      <c r="D299" s="265" t="s">
        <v>319</v>
      </c>
      <c r="E299" s="236">
        <v>6222</v>
      </c>
      <c r="F299" s="269"/>
      <c r="G299" s="269"/>
      <c r="H299" s="269"/>
      <c r="I299" s="352">
        <f t="shared" si="49"/>
        <v>0</v>
      </c>
      <c r="J299" s="1099"/>
      <c r="K299" s="1231"/>
      <c r="L299" s="295"/>
      <c r="O299" s="238">
        <f t="shared" si="50"/>
        <v>0</v>
      </c>
      <c r="P299" s="238">
        <f t="shared" si="50"/>
        <v>0</v>
      </c>
      <c r="Q299" s="238">
        <f t="shared" si="50"/>
        <v>0</v>
      </c>
      <c r="R299" s="238">
        <f t="shared" si="50"/>
        <v>0</v>
      </c>
    </row>
    <row r="300" spans="2:18" ht="18" customHeight="1">
      <c r="B300" s="231">
        <v>222</v>
      </c>
      <c r="C300" s="268"/>
      <c r="D300" s="292" t="s">
        <v>309</v>
      </c>
      <c r="E300" s="236">
        <v>6223</v>
      </c>
      <c r="F300" s="237"/>
      <c r="G300" s="237"/>
      <c r="H300" s="237"/>
      <c r="I300" s="311">
        <f t="shared" si="49"/>
        <v>0</v>
      </c>
      <c r="J300" s="1099"/>
      <c r="K300" s="1231"/>
      <c r="L300" s="295"/>
      <c r="O300" s="238">
        <f t="shared" si="50"/>
        <v>0</v>
      </c>
      <c r="P300" s="238">
        <f t="shared" si="50"/>
        <v>0</v>
      </c>
      <c r="Q300" s="238">
        <f t="shared" si="50"/>
        <v>0</v>
      </c>
      <c r="R300" s="238">
        <f t="shared" si="50"/>
        <v>0</v>
      </c>
    </row>
    <row r="301" spans="2:19" ht="18" customHeight="1">
      <c r="B301" s="231">
        <v>223</v>
      </c>
      <c r="C301" s="268"/>
      <c r="D301" s="292" t="s">
        <v>320</v>
      </c>
      <c r="E301" s="236">
        <v>6225</v>
      </c>
      <c r="F301" s="237"/>
      <c r="G301" s="237"/>
      <c r="H301" s="237"/>
      <c r="I301" s="311">
        <f t="shared" si="49"/>
        <v>0</v>
      </c>
      <c r="J301" s="1099"/>
      <c r="K301" s="1231"/>
      <c r="L301" s="272" t="str">
        <f>IF(J301&lt;0,ROUND(I301/J301,0)," ")</f>
        <v> </v>
      </c>
      <c r="O301" s="238">
        <f t="shared" si="50"/>
        <v>0</v>
      </c>
      <c r="P301" s="238">
        <f t="shared" si="50"/>
        <v>0</v>
      </c>
      <c r="Q301" s="238">
        <f t="shared" si="50"/>
        <v>0</v>
      </c>
      <c r="R301" s="238">
        <f t="shared" si="50"/>
        <v>0</v>
      </c>
      <c r="S301" s="273">
        <f>IF(ISTEXT(J301),0,ROUND(J301,0))</f>
        <v>0</v>
      </c>
    </row>
    <row r="302" spans="2:19" ht="18" customHeight="1">
      <c r="B302" s="231">
        <v>224</v>
      </c>
      <c r="C302" s="249"/>
      <c r="D302" s="240" t="s">
        <v>322</v>
      </c>
      <c r="E302" s="300">
        <v>6226</v>
      </c>
      <c r="F302" s="237"/>
      <c r="G302" s="237"/>
      <c r="H302" s="237"/>
      <c r="I302" s="311">
        <f t="shared" si="49"/>
        <v>0</v>
      </c>
      <c r="J302" s="1099"/>
      <c r="K302" s="1231"/>
      <c r="L302" s="272" t="str">
        <f>IF(J302&lt;0,ROUND(I302/J302,0)," ")</f>
        <v> </v>
      </c>
      <c r="O302" s="238">
        <f t="shared" si="50"/>
        <v>0</v>
      </c>
      <c r="P302" s="238">
        <f t="shared" si="50"/>
        <v>0</v>
      </c>
      <c r="Q302" s="238">
        <f t="shared" si="50"/>
        <v>0</v>
      </c>
      <c r="R302" s="238">
        <f t="shared" si="50"/>
        <v>0</v>
      </c>
      <c r="S302" s="273">
        <f>IF(ISTEXT(J302),0,ROUND(J302,0))</f>
        <v>0</v>
      </c>
    </row>
    <row r="303" spans="2:18" ht="18" customHeight="1">
      <c r="B303" s="231">
        <v>225</v>
      </c>
      <c r="C303" s="268"/>
      <c r="D303" s="313" t="s">
        <v>617</v>
      </c>
      <c r="E303" s="236">
        <v>6224</v>
      </c>
      <c r="F303" s="269"/>
      <c r="G303" s="269"/>
      <c r="H303" s="269"/>
      <c r="I303" s="352">
        <f t="shared" si="49"/>
        <v>0</v>
      </c>
      <c r="J303" s="1099"/>
      <c r="K303" s="1231"/>
      <c r="L303" s="295"/>
      <c r="O303" s="238">
        <f t="shared" si="50"/>
        <v>0</v>
      </c>
      <c r="P303" s="238">
        <f t="shared" si="50"/>
        <v>0</v>
      </c>
      <c r="Q303" s="238">
        <f t="shared" si="50"/>
        <v>0</v>
      </c>
      <c r="R303" s="238">
        <f t="shared" si="50"/>
        <v>0</v>
      </c>
    </row>
    <row r="304" spans="2:19" ht="18" customHeight="1" thickBot="1">
      <c r="B304" s="231">
        <v>226</v>
      </c>
      <c r="C304" s="305" t="s">
        <v>343</v>
      </c>
      <c r="D304" s="283"/>
      <c r="E304" s="314"/>
      <c r="F304" s="284">
        <f>O304</f>
        <v>0</v>
      </c>
      <c r="G304" s="284">
        <f>P304</f>
        <v>0</v>
      </c>
      <c r="H304" s="284">
        <f>Q304</f>
        <v>0</v>
      </c>
      <c r="I304" s="353">
        <f>R304</f>
        <v>0</v>
      </c>
      <c r="J304" s="1100"/>
      <c r="K304" s="1232"/>
      <c r="L304" s="295"/>
      <c r="O304" s="296">
        <f>ROUND(SUM(O298:O303),0)</f>
        <v>0</v>
      </c>
      <c r="P304" s="296">
        <f>ROUND(SUM(P298:P303),0)</f>
        <v>0</v>
      </c>
      <c r="Q304" s="296">
        <f>ROUND(SUM(Q298:Q303),0)</f>
        <v>0</v>
      </c>
      <c r="R304" s="296">
        <f>ROUND(SUM(R298:R303),0)</f>
        <v>0</v>
      </c>
      <c r="S304" s="297">
        <f>ROUND(SUM(S298:S303),0)</f>
        <v>0</v>
      </c>
    </row>
    <row r="305" spans="2:12" ht="15" customHeight="1">
      <c r="B305" s="231">
        <v>227</v>
      </c>
      <c r="C305" s="367" t="s">
        <v>344</v>
      </c>
      <c r="D305" s="265"/>
      <c r="E305" s="287"/>
      <c r="F305" s="287"/>
      <c r="G305" s="287"/>
      <c r="H305" s="287"/>
      <c r="I305" s="288"/>
      <c r="J305" s="1098"/>
      <c r="K305" s="1233"/>
      <c r="L305" s="295"/>
    </row>
    <row r="306" spans="2:19" ht="18" customHeight="1">
      <c r="B306" s="231">
        <v>228</v>
      </c>
      <c r="C306" s="268"/>
      <c r="D306" s="265" t="s">
        <v>318</v>
      </c>
      <c r="E306" s="310">
        <v>6241</v>
      </c>
      <c r="F306" s="269"/>
      <c r="G306" s="269"/>
      <c r="H306" s="269"/>
      <c r="I306" s="352">
        <f aca="true" t="shared" si="51" ref="I306:I311">+F306+G306-H306</f>
        <v>0</v>
      </c>
      <c r="J306" s="312"/>
      <c r="K306" s="1234"/>
      <c r="L306" s="272" t="str">
        <f>IF(J306&lt;0,ROUND(I306/J306,0)," ")</f>
        <v> </v>
      </c>
      <c r="O306" s="238">
        <f aca="true" t="shared" si="52" ref="O306:R311">ROUND(F306,0)</f>
        <v>0</v>
      </c>
      <c r="P306" s="238">
        <f t="shared" si="52"/>
        <v>0</v>
      </c>
      <c r="Q306" s="238">
        <f t="shared" si="52"/>
        <v>0</v>
      </c>
      <c r="R306" s="238">
        <f t="shared" si="52"/>
        <v>0</v>
      </c>
      <c r="S306" s="273">
        <f>IF(ISTEXT(J306),0,ROUND(J306,0))</f>
        <v>0</v>
      </c>
    </row>
    <row r="307" spans="2:18" ht="18" customHeight="1">
      <c r="B307" s="231">
        <v>229</v>
      </c>
      <c r="C307" s="268"/>
      <c r="D307" s="265" t="s">
        <v>319</v>
      </c>
      <c r="E307" s="236">
        <v>6242</v>
      </c>
      <c r="F307" s="269"/>
      <c r="G307" s="269"/>
      <c r="H307" s="269"/>
      <c r="I307" s="352">
        <f t="shared" si="51"/>
        <v>0</v>
      </c>
      <c r="J307" s="1099"/>
      <c r="K307" s="1222"/>
      <c r="L307" s="295"/>
      <c r="O307" s="238">
        <f t="shared" si="52"/>
        <v>0</v>
      </c>
      <c r="P307" s="238">
        <f t="shared" si="52"/>
        <v>0</v>
      </c>
      <c r="Q307" s="238">
        <f t="shared" si="52"/>
        <v>0</v>
      </c>
      <c r="R307" s="238">
        <f t="shared" si="52"/>
        <v>0</v>
      </c>
    </row>
    <row r="308" spans="2:18" ht="18" customHeight="1">
      <c r="B308" s="231">
        <v>230</v>
      </c>
      <c r="C308" s="239"/>
      <c r="D308" s="292" t="s">
        <v>309</v>
      </c>
      <c r="E308" s="236">
        <v>6243</v>
      </c>
      <c r="F308" s="237"/>
      <c r="G308" s="237"/>
      <c r="H308" s="237"/>
      <c r="I308" s="311">
        <f t="shared" si="51"/>
        <v>0</v>
      </c>
      <c r="J308" s="1099"/>
      <c r="K308" s="1222"/>
      <c r="L308" s="295"/>
      <c r="O308" s="238">
        <f t="shared" si="52"/>
        <v>0</v>
      </c>
      <c r="P308" s="238">
        <f t="shared" si="52"/>
        <v>0</v>
      </c>
      <c r="Q308" s="238">
        <f t="shared" si="52"/>
        <v>0</v>
      </c>
      <c r="R308" s="238">
        <f t="shared" si="52"/>
        <v>0</v>
      </c>
    </row>
    <row r="309" spans="2:19" ht="18" customHeight="1">
      <c r="B309" s="231">
        <v>231</v>
      </c>
      <c r="C309" s="239"/>
      <c r="D309" s="292" t="s">
        <v>320</v>
      </c>
      <c r="E309" s="236">
        <v>6245</v>
      </c>
      <c r="F309" s="237"/>
      <c r="G309" s="237"/>
      <c r="H309" s="237"/>
      <c r="I309" s="311">
        <f t="shared" si="51"/>
        <v>0</v>
      </c>
      <c r="J309" s="1099"/>
      <c r="K309" s="1222"/>
      <c r="L309" s="272" t="str">
        <f>IF(J309&lt;0,ROUND(I309/J309,0)," ")</f>
        <v> </v>
      </c>
      <c r="O309" s="238">
        <f t="shared" si="52"/>
        <v>0</v>
      </c>
      <c r="P309" s="238">
        <f t="shared" si="52"/>
        <v>0</v>
      </c>
      <c r="Q309" s="238">
        <f t="shared" si="52"/>
        <v>0</v>
      </c>
      <c r="R309" s="238">
        <f t="shared" si="52"/>
        <v>0</v>
      </c>
      <c r="S309" s="273">
        <f>IF(ISTEXT(J309),0,ROUND(J309,0))</f>
        <v>0</v>
      </c>
    </row>
    <row r="310" spans="2:19" ht="18" customHeight="1">
      <c r="B310" s="231">
        <v>232</v>
      </c>
      <c r="C310" s="249"/>
      <c r="D310" s="240" t="s">
        <v>322</v>
      </c>
      <c r="E310" s="300">
        <v>6246</v>
      </c>
      <c r="F310" s="237"/>
      <c r="G310" s="237"/>
      <c r="H310" s="237"/>
      <c r="I310" s="311">
        <f t="shared" si="51"/>
        <v>0</v>
      </c>
      <c r="J310" s="1099"/>
      <c r="K310" s="1222"/>
      <c r="L310" s="272" t="str">
        <f>IF(J310&lt;0,ROUND(I310/J310,0)," ")</f>
        <v> </v>
      </c>
      <c r="O310" s="238">
        <f t="shared" si="52"/>
        <v>0</v>
      </c>
      <c r="P310" s="238">
        <f t="shared" si="52"/>
        <v>0</v>
      </c>
      <c r="Q310" s="238">
        <f t="shared" si="52"/>
        <v>0</v>
      </c>
      <c r="R310" s="238">
        <f t="shared" si="52"/>
        <v>0</v>
      </c>
      <c r="S310" s="273">
        <f>IF(ISTEXT(J310),0,ROUND(J310,0))</f>
        <v>0</v>
      </c>
    </row>
    <row r="311" spans="2:18" ht="18" customHeight="1">
      <c r="B311" s="231">
        <v>233</v>
      </c>
      <c r="C311" s="268"/>
      <c r="D311" s="313" t="s">
        <v>671</v>
      </c>
      <c r="E311" s="236">
        <v>6244</v>
      </c>
      <c r="F311" s="269"/>
      <c r="G311" s="269"/>
      <c r="H311" s="269"/>
      <c r="I311" s="352">
        <f t="shared" si="51"/>
        <v>0</v>
      </c>
      <c r="J311" s="1099"/>
      <c r="K311" s="1222"/>
      <c r="L311" s="295"/>
      <c r="O311" s="238">
        <f t="shared" si="52"/>
        <v>0</v>
      </c>
      <c r="P311" s="238">
        <f t="shared" si="52"/>
        <v>0</v>
      </c>
      <c r="Q311" s="238">
        <f t="shared" si="52"/>
        <v>0</v>
      </c>
      <c r="R311" s="238">
        <f t="shared" si="52"/>
        <v>0</v>
      </c>
    </row>
    <row r="312" spans="2:19" ht="18" customHeight="1" thickBot="1">
      <c r="B312" s="231">
        <v>234</v>
      </c>
      <c r="C312" s="305" t="s">
        <v>345</v>
      </c>
      <c r="D312" s="283"/>
      <c r="E312" s="314"/>
      <c r="F312" s="284">
        <f>O312</f>
        <v>0</v>
      </c>
      <c r="G312" s="284">
        <f>P312</f>
        <v>0</v>
      </c>
      <c r="H312" s="284">
        <f>Q312</f>
        <v>0</v>
      </c>
      <c r="I312" s="353">
        <f>R312</f>
        <v>0</v>
      </c>
      <c r="J312" s="1100"/>
      <c r="K312" s="1223"/>
      <c r="L312" s="295"/>
      <c r="O312" s="296">
        <f>ROUND(SUM(O306:O311),0)</f>
        <v>0</v>
      </c>
      <c r="P312" s="296">
        <f>ROUND(SUM(P306:P311),0)</f>
        <v>0</v>
      </c>
      <c r="Q312" s="296">
        <f>ROUND(SUM(Q306:Q311),0)</f>
        <v>0</v>
      </c>
      <c r="R312" s="296">
        <f>ROUND(SUM(R306:R311),0)</f>
        <v>0</v>
      </c>
      <c r="S312" s="297">
        <f>ROUND(SUM(S306:S311),0)</f>
        <v>0</v>
      </c>
    </row>
    <row r="313" spans="2:12" ht="15" customHeight="1">
      <c r="B313" s="231">
        <v>235</v>
      </c>
      <c r="C313" s="367" t="s">
        <v>346</v>
      </c>
      <c r="D313" s="265"/>
      <c r="E313" s="287"/>
      <c r="F313" s="287"/>
      <c r="G313" s="287"/>
      <c r="H313" s="287"/>
      <c r="I313" s="288"/>
      <c r="J313" s="1098"/>
      <c r="K313" s="1235"/>
      <c r="L313" s="295"/>
    </row>
    <row r="314" spans="2:19" ht="18" customHeight="1">
      <c r="B314" s="231">
        <v>236</v>
      </c>
      <c r="C314" s="268"/>
      <c r="D314" s="265" t="s">
        <v>318</v>
      </c>
      <c r="E314" s="310">
        <v>6281</v>
      </c>
      <c r="F314" s="269"/>
      <c r="G314" s="269"/>
      <c r="H314" s="269"/>
      <c r="I314" s="352">
        <f aca="true" t="shared" si="53" ref="I314:I319">+F314+G314-H314</f>
        <v>0</v>
      </c>
      <c r="J314" s="312"/>
      <c r="K314" s="1222"/>
      <c r="L314" s="272" t="str">
        <f>IF(J314&lt;0,ROUND(I314/J314,0)," ")</f>
        <v> </v>
      </c>
      <c r="O314" s="238">
        <f aca="true" t="shared" si="54" ref="O314:R319">ROUND(F314,0)</f>
        <v>0</v>
      </c>
      <c r="P314" s="238">
        <f t="shared" si="54"/>
        <v>0</v>
      </c>
      <c r="Q314" s="238">
        <f t="shared" si="54"/>
        <v>0</v>
      </c>
      <c r="R314" s="238">
        <f t="shared" si="54"/>
        <v>0</v>
      </c>
      <c r="S314" s="273">
        <f>IF(ISTEXT(J314),0,ROUND(J314,0))</f>
        <v>0</v>
      </c>
    </row>
    <row r="315" spans="2:18" ht="18" customHeight="1">
      <c r="B315" s="231">
        <v>237</v>
      </c>
      <c r="C315" s="268"/>
      <c r="D315" s="265" t="s">
        <v>319</v>
      </c>
      <c r="E315" s="236">
        <v>6282</v>
      </c>
      <c r="F315" s="269"/>
      <c r="G315" s="269"/>
      <c r="H315" s="269"/>
      <c r="I315" s="352">
        <f t="shared" si="53"/>
        <v>0</v>
      </c>
      <c r="J315" s="1099"/>
      <c r="K315" s="1222"/>
      <c r="L315" s="295"/>
      <c r="O315" s="238">
        <f t="shared" si="54"/>
        <v>0</v>
      </c>
      <c r="P315" s="238">
        <f t="shared" si="54"/>
        <v>0</v>
      </c>
      <c r="Q315" s="238">
        <f t="shared" si="54"/>
        <v>0</v>
      </c>
      <c r="R315" s="238">
        <f t="shared" si="54"/>
        <v>0</v>
      </c>
    </row>
    <row r="316" spans="2:18" ht="18" customHeight="1">
      <c r="B316" s="231">
        <v>238</v>
      </c>
      <c r="C316" s="239"/>
      <c r="D316" s="292" t="s">
        <v>309</v>
      </c>
      <c r="E316" s="236">
        <v>6283</v>
      </c>
      <c r="F316" s="237"/>
      <c r="G316" s="237"/>
      <c r="H316" s="237"/>
      <c r="I316" s="311">
        <f t="shared" si="53"/>
        <v>0</v>
      </c>
      <c r="J316" s="1099"/>
      <c r="K316" s="1222"/>
      <c r="L316" s="295"/>
      <c r="O316" s="238">
        <f t="shared" si="54"/>
        <v>0</v>
      </c>
      <c r="P316" s="238">
        <f t="shared" si="54"/>
        <v>0</v>
      </c>
      <c r="Q316" s="238">
        <f t="shared" si="54"/>
        <v>0</v>
      </c>
      <c r="R316" s="238">
        <f t="shared" si="54"/>
        <v>0</v>
      </c>
    </row>
    <row r="317" spans="2:19" ht="18" customHeight="1">
      <c r="B317" s="231">
        <v>239</v>
      </c>
      <c r="C317" s="239"/>
      <c r="D317" s="292" t="s">
        <v>320</v>
      </c>
      <c r="E317" s="236">
        <v>6285</v>
      </c>
      <c r="F317" s="237"/>
      <c r="G317" s="237"/>
      <c r="H317" s="237"/>
      <c r="I317" s="311">
        <f t="shared" si="53"/>
        <v>0</v>
      </c>
      <c r="J317" s="1099"/>
      <c r="K317" s="1222"/>
      <c r="L317" s="272" t="str">
        <f>IF(J317&lt;0,ROUND(I317/J317,0)," ")</f>
        <v> </v>
      </c>
      <c r="O317" s="238">
        <f t="shared" si="54"/>
        <v>0</v>
      </c>
      <c r="P317" s="238">
        <f t="shared" si="54"/>
        <v>0</v>
      </c>
      <c r="Q317" s="238">
        <f t="shared" si="54"/>
        <v>0</v>
      </c>
      <c r="R317" s="238">
        <f t="shared" si="54"/>
        <v>0</v>
      </c>
      <c r="S317" s="273">
        <f>IF(ISTEXT(J317),0,ROUND(J317,0))</f>
        <v>0</v>
      </c>
    </row>
    <row r="318" spans="2:19" ht="18" customHeight="1">
      <c r="B318" s="231">
        <v>240</v>
      </c>
      <c r="C318" s="249"/>
      <c r="D318" s="240" t="s">
        <v>322</v>
      </c>
      <c r="E318" s="300">
        <v>6286</v>
      </c>
      <c r="F318" s="237"/>
      <c r="G318" s="237"/>
      <c r="H318" s="237"/>
      <c r="I318" s="311">
        <f t="shared" si="53"/>
        <v>0</v>
      </c>
      <c r="J318" s="1099"/>
      <c r="K318" s="1222"/>
      <c r="L318" s="272" t="str">
        <f>IF(J318&lt;0,ROUND(I318/J318,0)," ")</f>
        <v> </v>
      </c>
      <c r="O318" s="238">
        <f t="shared" si="54"/>
        <v>0</v>
      </c>
      <c r="P318" s="238">
        <f t="shared" si="54"/>
        <v>0</v>
      </c>
      <c r="Q318" s="238">
        <f t="shared" si="54"/>
        <v>0</v>
      </c>
      <c r="R318" s="238">
        <f t="shared" si="54"/>
        <v>0</v>
      </c>
      <c r="S318" s="273">
        <f>IF(ISTEXT(J318),0,ROUND(J318,0))</f>
        <v>0</v>
      </c>
    </row>
    <row r="319" spans="2:18" ht="18" customHeight="1">
      <c r="B319" s="231">
        <v>241</v>
      </c>
      <c r="C319" s="268"/>
      <c r="D319" s="313" t="s">
        <v>671</v>
      </c>
      <c r="E319" s="236">
        <v>6284</v>
      </c>
      <c r="F319" s="269"/>
      <c r="G319" s="269"/>
      <c r="H319" s="269"/>
      <c r="I319" s="352">
        <f t="shared" si="53"/>
        <v>0</v>
      </c>
      <c r="J319" s="1099"/>
      <c r="K319" s="1222"/>
      <c r="L319" s="295"/>
      <c r="O319" s="238">
        <f t="shared" si="54"/>
        <v>0</v>
      </c>
      <c r="P319" s="238">
        <f t="shared" si="54"/>
        <v>0</v>
      </c>
      <c r="Q319" s="238">
        <f t="shared" si="54"/>
        <v>0</v>
      </c>
      <c r="R319" s="238">
        <f t="shared" si="54"/>
        <v>0</v>
      </c>
    </row>
    <row r="320" spans="2:19" ht="18" customHeight="1" thickBot="1">
      <c r="B320" s="231">
        <v>242</v>
      </c>
      <c r="C320" s="305" t="s">
        <v>347</v>
      </c>
      <c r="D320" s="283"/>
      <c r="E320" s="314"/>
      <c r="F320" s="284">
        <f>O320</f>
        <v>0</v>
      </c>
      <c r="G320" s="284">
        <f>P320</f>
        <v>0</v>
      </c>
      <c r="H320" s="284">
        <f>Q320</f>
        <v>0</v>
      </c>
      <c r="I320" s="353">
        <f>R320</f>
        <v>0</v>
      </c>
      <c r="J320" s="1100"/>
      <c r="K320" s="1223"/>
      <c r="L320" s="295"/>
      <c r="O320" s="296">
        <f>ROUND(SUM(O314:O319),0)</f>
        <v>0</v>
      </c>
      <c r="P320" s="296">
        <f>ROUND(SUM(P314:P319),0)</f>
        <v>0</v>
      </c>
      <c r="Q320" s="296">
        <f>ROUND(SUM(Q314:Q319),0)</f>
        <v>0</v>
      </c>
      <c r="R320" s="296">
        <f>ROUND(SUM(R314:R319),0)</f>
        <v>0</v>
      </c>
      <c r="S320" s="297">
        <f>ROUND(SUM(S314:S319),0)</f>
        <v>0</v>
      </c>
    </row>
    <row r="321" spans="2:12" ht="15" customHeight="1">
      <c r="B321" s="231">
        <v>243</v>
      </c>
      <c r="C321" s="368" t="s">
        <v>348</v>
      </c>
      <c r="D321" s="265"/>
      <c r="E321" s="287"/>
      <c r="F321" s="287"/>
      <c r="G321" s="287"/>
      <c r="H321" s="287"/>
      <c r="I321" s="288"/>
      <c r="J321" s="1098"/>
      <c r="K321" s="1235"/>
      <c r="L321" s="295"/>
    </row>
    <row r="322" spans="2:19" ht="18" customHeight="1">
      <c r="B322" s="231">
        <v>244</v>
      </c>
      <c r="C322" s="268"/>
      <c r="D322" s="265" t="s">
        <v>318</v>
      </c>
      <c r="E322" s="310">
        <v>6291</v>
      </c>
      <c r="F322" s="269"/>
      <c r="G322" s="269"/>
      <c r="H322" s="269"/>
      <c r="I322" s="352">
        <f aca="true" t="shared" si="55" ref="I322:I327">+F322+G322-H322</f>
        <v>0</v>
      </c>
      <c r="J322" s="312"/>
      <c r="K322" s="1222"/>
      <c r="L322" s="272" t="str">
        <f>IF(J322&lt;0,ROUND(I322/J322,0)," ")</f>
        <v> </v>
      </c>
      <c r="O322" s="238">
        <f aca="true" t="shared" si="56" ref="O322:R327">ROUND(F322,0)</f>
        <v>0</v>
      </c>
      <c r="P322" s="238">
        <f t="shared" si="56"/>
        <v>0</v>
      </c>
      <c r="Q322" s="238">
        <f t="shared" si="56"/>
        <v>0</v>
      </c>
      <c r="R322" s="238">
        <f t="shared" si="56"/>
        <v>0</v>
      </c>
      <c r="S322" s="273">
        <f>IF(ISTEXT(J322),0,ROUND(J322,0))</f>
        <v>0</v>
      </c>
    </row>
    <row r="323" spans="2:18" ht="18" customHeight="1">
      <c r="B323" s="231">
        <v>245</v>
      </c>
      <c r="C323" s="268"/>
      <c r="D323" s="265" t="s">
        <v>319</v>
      </c>
      <c r="E323" s="236">
        <v>6292</v>
      </c>
      <c r="F323" s="269"/>
      <c r="G323" s="269"/>
      <c r="H323" s="269"/>
      <c r="I323" s="352">
        <f t="shared" si="55"/>
        <v>0</v>
      </c>
      <c r="J323" s="1099"/>
      <c r="K323" s="1222"/>
      <c r="L323" s="295"/>
      <c r="O323" s="238">
        <f t="shared" si="56"/>
        <v>0</v>
      </c>
      <c r="P323" s="238">
        <f t="shared" si="56"/>
        <v>0</v>
      </c>
      <c r="Q323" s="238">
        <f t="shared" si="56"/>
        <v>0</v>
      </c>
      <c r="R323" s="238">
        <f t="shared" si="56"/>
        <v>0</v>
      </c>
    </row>
    <row r="324" spans="2:18" ht="18" customHeight="1">
      <c r="B324" s="231">
        <v>246</v>
      </c>
      <c r="C324" s="239"/>
      <c r="D324" s="292" t="s">
        <v>309</v>
      </c>
      <c r="E324" s="236">
        <v>6293</v>
      </c>
      <c r="F324" s="237"/>
      <c r="G324" s="237"/>
      <c r="H324" s="237"/>
      <c r="I324" s="311">
        <f t="shared" si="55"/>
        <v>0</v>
      </c>
      <c r="J324" s="1099"/>
      <c r="K324" s="1222"/>
      <c r="L324" s="295"/>
      <c r="O324" s="238">
        <f t="shared" si="56"/>
        <v>0</v>
      </c>
      <c r="P324" s="238">
        <f t="shared" si="56"/>
        <v>0</v>
      </c>
      <c r="Q324" s="238">
        <f t="shared" si="56"/>
        <v>0</v>
      </c>
      <c r="R324" s="238">
        <f t="shared" si="56"/>
        <v>0</v>
      </c>
    </row>
    <row r="325" spans="2:19" ht="18" customHeight="1">
      <c r="B325" s="231">
        <v>247</v>
      </c>
      <c r="C325" s="239"/>
      <c r="D325" s="292" t="s">
        <v>320</v>
      </c>
      <c r="E325" s="236">
        <v>6295</v>
      </c>
      <c r="F325" s="237"/>
      <c r="G325" s="237"/>
      <c r="H325" s="237"/>
      <c r="I325" s="311">
        <f t="shared" si="55"/>
        <v>0</v>
      </c>
      <c r="J325" s="1099"/>
      <c r="K325" s="1222"/>
      <c r="L325" s="272" t="str">
        <f>IF(J325&lt;0,ROUND(I325/J325,0)," ")</f>
        <v> </v>
      </c>
      <c r="O325" s="238">
        <f t="shared" si="56"/>
        <v>0</v>
      </c>
      <c r="P325" s="238">
        <f t="shared" si="56"/>
        <v>0</v>
      </c>
      <c r="Q325" s="238">
        <f t="shared" si="56"/>
        <v>0</v>
      </c>
      <c r="R325" s="238">
        <f t="shared" si="56"/>
        <v>0</v>
      </c>
      <c r="S325" s="273">
        <f>IF(ISTEXT(J325),0,ROUND(J325,0))</f>
        <v>0</v>
      </c>
    </row>
    <row r="326" spans="2:19" ht="18" customHeight="1">
      <c r="B326" s="231">
        <v>248</v>
      </c>
      <c r="C326" s="249"/>
      <c r="D326" s="240" t="s">
        <v>322</v>
      </c>
      <c r="E326" s="300">
        <v>6296</v>
      </c>
      <c r="F326" s="237"/>
      <c r="G326" s="237"/>
      <c r="H326" s="237"/>
      <c r="I326" s="311">
        <f t="shared" si="55"/>
        <v>0</v>
      </c>
      <c r="J326" s="1099"/>
      <c r="K326" s="1222"/>
      <c r="L326" s="272" t="str">
        <f>IF(J326&lt;0,ROUND(I326/J326,0)," ")</f>
        <v> </v>
      </c>
      <c r="O326" s="238">
        <f t="shared" si="56"/>
        <v>0</v>
      </c>
      <c r="P326" s="238">
        <f t="shared" si="56"/>
        <v>0</v>
      </c>
      <c r="Q326" s="238">
        <f t="shared" si="56"/>
        <v>0</v>
      </c>
      <c r="R326" s="238">
        <f t="shared" si="56"/>
        <v>0</v>
      </c>
      <c r="S326" s="273">
        <f>IF(ISTEXT(J326),0,ROUND(J326,0))</f>
        <v>0</v>
      </c>
    </row>
    <row r="327" spans="2:19" ht="18" customHeight="1">
      <c r="B327" s="231">
        <v>249</v>
      </c>
      <c r="C327" s="268"/>
      <c r="D327" s="313" t="s">
        <v>671</v>
      </c>
      <c r="E327" s="236">
        <v>6294</v>
      </c>
      <c r="F327" s="269"/>
      <c r="G327" s="269"/>
      <c r="H327" s="269"/>
      <c r="I327" s="352">
        <f t="shared" si="55"/>
        <v>0</v>
      </c>
      <c r="J327" s="1099"/>
      <c r="K327" s="1222"/>
      <c r="L327" s="295"/>
      <c r="O327" s="238">
        <f t="shared" si="56"/>
        <v>0</v>
      </c>
      <c r="P327" s="238">
        <f t="shared" si="56"/>
        <v>0</v>
      </c>
      <c r="Q327" s="238">
        <f t="shared" si="56"/>
        <v>0</v>
      </c>
      <c r="R327" s="238">
        <f t="shared" si="56"/>
        <v>0</v>
      </c>
      <c r="S327" s="238">
        <f>ROUND(J327,0)</f>
        <v>0</v>
      </c>
    </row>
    <row r="328" spans="2:19" ht="18" customHeight="1" thickBot="1">
      <c r="B328" s="231">
        <v>250</v>
      </c>
      <c r="C328" s="305" t="s">
        <v>349</v>
      </c>
      <c r="D328" s="283"/>
      <c r="E328" s="314"/>
      <c r="F328" s="284">
        <f>O328</f>
        <v>0</v>
      </c>
      <c r="G328" s="284">
        <f>P328</f>
        <v>0</v>
      </c>
      <c r="H328" s="284">
        <f>Q328</f>
        <v>0</v>
      </c>
      <c r="I328" s="353">
        <f>R328</f>
        <v>0</v>
      </c>
      <c r="J328" s="1100"/>
      <c r="K328" s="1223"/>
      <c r="L328" s="295"/>
      <c r="O328" s="296">
        <f>ROUND(SUM(O322:O327),0)</f>
        <v>0</v>
      </c>
      <c r="P328" s="296">
        <f>ROUND(SUM(P322:P327),0)</f>
        <v>0</v>
      </c>
      <c r="Q328" s="296">
        <f>ROUND(SUM(Q322:Q327),0)</f>
        <v>0</v>
      </c>
      <c r="R328" s="296">
        <f>ROUND(SUM(R322:R327),0)</f>
        <v>0</v>
      </c>
      <c r="S328" s="297">
        <f>ROUND(SUM(S322:S327),0)</f>
        <v>0</v>
      </c>
    </row>
    <row r="329" spans="2:12" ht="15" customHeight="1">
      <c r="B329" s="231">
        <v>251</v>
      </c>
      <c r="C329" s="369" t="s">
        <v>350</v>
      </c>
      <c r="D329" s="265"/>
      <c r="E329" s="287"/>
      <c r="F329" s="287"/>
      <c r="G329" s="287"/>
      <c r="H329" s="287"/>
      <c r="I329" s="288"/>
      <c r="J329" s="1098"/>
      <c r="K329" s="1235"/>
      <c r="L329" s="295"/>
    </row>
    <row r="330" spans="2:19" ht="18" customHeight="1">
      <c r="B330" s="231">
        <v>252</v>
      </c>
      <c r="C330" s="268"/>
      <c r="D330" s="265" t="s">
        <v>318</v>
      </c>
      <c r="E330" s="321">
        <v>5111.15</v>
      </c>
      <c r="F330" s="269"/>
      <c r="G330" s="269"/>
      <c r="H330" s="269"/>
      <c r="I330" s="352">
        <f aca="true" t="shared" si="57" ref="I330:I335">+F330+G330-H330</f>
        <v>0</v>
      </c>
      <c r="J330" s="312"/>
      <c r="K330" s="1222"/>
      <c r="L330" s="295"/>
      <c r="O330" s="238">
        <f aca="true" t="shared" si="58" ref="O330:R335">ROUND(F330,0)</f>
        <v>0</v>
      </c>
      <c r="P330" s="238">
        <f t="shared" si="58"/>
        <v>0</v>
      </c>
      <c r="Q330" s="238">
        <f t="shared" si="58"/>
        <v>0</v>
      </c>
      <c r="R330" s="238">
        <f t="shared" si="58"/>
        <v>0</v>
      </c>
      <c r="S330" s="273">
        <f aca="true" t="shared" si="59" ref="S330:S335">IF(ISTEXT(J330),0,ROUND(J330,0))</f>
        <v>0</v>
      </c>
    </row>
    <row r="331" spans="2:19" ht="18" customHeight="1">
      <c r="B331" s="231">
        <v>253</v>
      </c>
      <c r="C331" s="268"/>
      <c r="D331" s="265" t="s">
        <v>319</v>
      </c>
      <c r="E331" s="236">
        <v>6300</v>
      </c>
      <c r="F331" s="269"/>
      <c r="G331" s="269"/>
      <c r="H331" s="269"/>
      <c r="I331" s="352">
        <f t="shared" si="57"/>
        <v>0</v>
      </c>
      <c r="J331" s="1099"/>
      <c r="K331" s="1222"/>
      <c r="L331" s="295"/>
      <c r="O331" s="238">
        <f t="shared" si="58"/>
        <v>0</v>
      </c>
      <c r="P331" s="238">
        <f t="shared" si="58"/>
        <v>0</v>
      </c>
      <c r="Q331" s="238">
        <f t="shared" si="58"/>
        <v>0</v>
      </c>
      <c r="R331" s="238">
        <f t="shared" si="58"/>
        <v>0</v>
      </c>
      <c r="S331" s="273">
        <f t="shared" si="59"/>
        <v>0</v>
      </c>
    </row>
    <row r="332" spans="2:19" ht="18" customHeight="1">
      <c r="B332" s="231">
        <v>254</v>
      </c>
      <c r="C332" s="239"/>
      <c r="D332" s="292" t="s">
        <v>309</v>
      </c>
      <c r="E332" s="236">
        <v>6301</v>
      </c>
      <c r="F332" s="237"/>
      <c r="G332" s="237"/>
      <c r="H332" s="237"/>
      <c r="I332" s="352">
        <f t="shared" si="57"/>
        <v>0</v>
      </c>
      <c r="J332" s="1099"/>
      <c r="K332" s="1222"/>
      <c r="L332" s="295"/>
      <c r="O332" s="238">
        <f t="shared" si="58"/>
        <v>0</v>
      </c>
      <c r="P332" s="238">
        <f t="shared" si="58"/>
        <v>0</v>
      </c>
      <c r="Q332" s="238">
        <f t="shared" si="58"/>
        <v>0</v>
      </c>
      <c r="R332" s="238">
        <f t="shared" si="58"/>
        <v>0</v>
      </c>
      <c r="S332" s="273">
        <f t="shared" si="59"/>
        <v>0</v>
      </c>
    </row>
    <row r="333" spans="2:19" ht="18" customHeight="1">
      <c r="B333" s="231">
        <v>255</v>
      </c>
      <c r="C333" s="239"/>
      <c r="D333" s="292" t="s">
        <v>320</v>
      </c>
      <c r="E333" s="321">
        <v>5114.15</v>
      </c>
      <c r="F333" s="237"/>
      <c r="G333" s="237"/>
      <c r="H333" s="237"/>
      <c r="I333" s="352">
        <f t="shared" si="57"/>
        <v>0</v>
      </c>
      <c r="J333" s="1099"/>
      <c r="K333" s="1222"/>
      <c r="L333" s="295"/>
      <c r="O333" s="238">
        <f t="shared" si="58"/>
        <v>0</v>
      </c>
      <c r="P333" s="238">
        <f t="shared" si="58"/>
        <v>0</v>
      </c>
      <c r="Q333" s="238">
        <f t="shared" si="58"/>
        <v>0</v>
      </c>
      <c r="R333" s="238">
        <f t="shared" si="58"/>
        <v>0</v>
      </c>
      <c r="S333" s="273">
        <f t="shared" si="59"/>
        <v>0</v>
      </c>
    </row>
    <row r="334" spans="2:19" ht="18" customHeight="1">
      <c r="B334" s="231">
        <v>256</v>
      </c>
      <c r="C334" s="249"/>
      <c r="D334" s="240" t="s">
        <v>322</v>
      </c>
      <c r="E334" s="321">
        <v>5115.15</v>
      </c>
      <c r="F334" s="237"/>
      <c r="G334" s="237"/>
      <c r="H334" s="237"/>
      <c r="I334" s="352">
        <f t="shared" si="57"/>
        <v>0</v>
      </c>
      <c r="J334" s="1099"/>
      <c r="K334" s="1222"/>
      <c r="L334" s="295"/>
      <c r="O334" s="238">
        <f t="shared" si="58"/>
        <v>0</v>
      </c>
      <c r="P334" s="238">
        <f t="shared" si="58"/>
        <v>0</v>
      </c>
      <c r="Q334" s="238">
        <f t="shared" si="58"/>
        <v>0</v>
      </c>
      <c r="R334" s="238">
        <f t="shared" si="58"/>
        <v>0</v>
      </c>
      <c r="S334" s="273">
        <f t="shared" si="59"/>
        <v>0</v>
      </c>
    </row>
    <row r="335" spans="2:19" ht="18" customHeight="1">
      <c r="B335" s="231">
        <v>257</v>
      </c>
      <c r="C335" s="268"/>
      <c r="D335" s="313" t="s">
        <v>671</v>
      </c>
      <c r="E335" s="236">
        <v>6302</v>
      </c>
      <c r="F335" s="269"/>
      <c r="G335" s="269"/>
      <c r="H335" s="269"/>
      <c r="I335" s="352">
        <f t="shared" si="57"/>
        <v>0</v>
      </c>
      <c r="J335" s="1099"/>
      <c r="K335" s="1222"/>
      <c r="L335" s="295"/>
      <c r="O335" s="238">
        <f t="shared" si="58"/>
        <v>0</v>
      </c>
      <c r="P335" s="238">
        <f t="shared" si="58"/>
        <v>0</v>
      </c>
      <c r="Q335" s="238">
        <f t="shared" si="58"/>
        <v>0</v>
      </c>
      <c r="R335" s="238">
        <f t="shared" si="58"/>
        <v>0</v>
      </c>
      <c r="S335" s="273">
        <f t="shared" si="59"/>
        <v>0</v>
      </c>
    </row>
    <row r="336" spans="2:19" ht="18" customHeight="1" thickBot="1">
      <c r="B336" s="231">
        <v>258</v>
      </c>
      <c r="C336" s="305" t="s">
        <v>351</v>
      </c>
      <c r="D336" s="283"/>
      <c r="E336" s="314"/>
      <c r="F336" s="284">
        <f>O336</f>
        <v>0</v>
      </c>
      <c r="G336" s="284">
        <f>P336</f>
        <v>0</v>
      </c>
      <c r="H336" s="284">
        <f>Q336</f>
        <v>0</v>
      </c>
      <c r="I336" s="353">
        <f>R336</f>
        <v>0</v>
      </c>
      <c r="J336" s="1100"/>
      <c r="K336" s="1223"/>
      <c r="L336" s="295"/>
      <c r="O336" s="296">
        <f>ROUND(SUM(O330:O335),0)</f>
        <v>0</v>
      </c>
      <c r="P336" s="296">
        <f>ROUND(SUM(P330:P335),0)</f>
        <v>0</v>
      </c>
      <c r="Q336" s="296">
        <f>ROUND(SUM(Q330:Q335),0)</f>
        <v>0</v>
      </c>
      <c r="R336" s="296">
        <f>ROUND(SUM(R330:R335),0)</f>
        <v>0</v>
      </c>
      <c r="S336" s="297">
        <f>ROUND(SUM(S330:S335),0)</f>
        <v>0</v>
      </c>
    </row>
    <row r="337" spans="2:12" ht="18" customHeight="1">
      <c r="B337" s="231">
        <v>259</v>
      </c>
      <c r="C337" s="308" t="s">
        <v>397</v>
      </c>
      <c r="D337" s="265"/>
      <c r="E337" s="989"/>
      <c r="F337" s="989"/>
      <c r="G337" s="989"/>
      <c r="H337" s="287"/>
      <c r="I337" s="288"/>
      <c r="J337" s="1098"/>
      <c r="K337" s="1235"/>
      <c r="L337" s="295"/>
    </row>
    <row r="338" spans="2:19" ht="18" customHeight="1">
      <c r="B338" s="231">
        <v>260</v>
      </c>
      <c r="C338" s="268"/>
      <c r="D338" s="265" t="s">
        <v>318</v>
      </c>
      <c r="E338" s="310">
        <v>6321</v>
      </c>
      <c r="F338" s="269"/>
      <c r="G338" s="269"/>
      <c r="H338" s="269"/>
      <c r="I338" s="352">
        <f aca="true" t="shared" si="60" ref="I338:I343">+F338+G338-H338</f>
        <v>0</v>
      </c>
      <c r="J338" s="312"/>
      <c r="K338" s="1222"/>
      <c r="L338" s="295"/>
      <c r="O338" s="238">
        <f aca="true" t="shared" si="61" ref="O338:R343">ROUND(F338,0)</f>
        <v>0</v>
      </c>
      <c r="P338" s="238">
        <f t="shared" si="61"/>
        <v>0</v>
      </c>
      <c r="Q338" s="238">
        <f t="shared" si="61"/>
        <v>0</v>
      </c>
      <c r="R338" s="238">
        <f t="shared" si="61"/>
        <v>0</v>
      </c>
      <c r="S338" s="273">
        <f aca="true" t="shared" si="62" ref="S338:S343">IF(ISTEXT(J338),0,ROUND(J338,0))</f>
        <v>0</v>
      </c>
    </row>
    <row r="339" spans="2:19" ht="18" customHeight="1">
      <c r="B339" s="231">
        <v>261</v>
      </c>
      <c r="C339" s="268"/>
      <c r="D339" s="265" t="s">
        <v>319</v>
      </c>
      <c r="E339" s="236">
        <v>6327</v>
      </c>
      <c r="F339" s="269"/>
      <c r="G339" s="269"/>
      <c r="H339" s="269"/>
      <c r="I339" s="352">
        <f t="shared" si="60"/>
        <v>0</v>
      </c>
      <c r="J339" s="1099"/>
      <c r="K339" s="1222"/>
      <c r="L339" s="295"/>
      <c r="O339" s="238">
        <f t="shared" si="61"/>
        <v>0</v>
      </c>
      <c r="P339" s="238">
        <f t="shared" si="61"/>
        <v>0</v>
      </c>
      <c r="Q339" s="238">
        <f t="shared" si="61"/>
        <v>0</v>
      </c>
      <c r="R339" s="238">
        <f t="shared" si="61"/>
        <v>0</v>
      </c>
      <c r="S339" s="273">
        <f t="shared" si="62"/>
        <v>0</v>
      </c>
    </row>
    <row r="340" spans="2:19" ht="18" customHeight="1">
      <c r="B340" s="231">
        <v>262</v>
      </c>
      <c r="C340" s="239"/>
      <c r="D340" s="292" t="s">
        <v>309</v>
      </c>
      <c r="E340" s="236">
        <v>6326</v>
      </c>
      <c r="F340" s="237"/>
      <c r="G340" s="237"/>
      <c r="H340" s="237"/>
      <c r="I340" s="352">
        <f t="shared" si="60"/>
        <v>0</v>
      </c>
      <c r="J340" s="1099"/>
      <c r="K340" s="1222"/>
      <c r="L340" s="295"/>
      <c r="O340" s="238">
        <f t="shared" si="61"/>
        <v>0</v>
      </c>
      <c r="P340" s="238">
        <f t="shared" si="61"/>
        <v>0</v>
      </c>
      <c r="Q340" s="238">
        <f t="shared" si="61"/>
        <v>0</v>
      </c>
      <c r="R340" s="238">
        <f t="shared" si="61"/>
        <v>0</v>
      </c>
      <c r="S340" s="273">
        <f t="shared" si="62"/>
        <v>0</v>
      </c>
    </row>
    <row r="341" spans="2:19" ht="18" customHeight="1">
      <c r="B341" s="231">
        <v>263</v>
      </c>
      <c r="C341" s="239"/>
      <c r="D341" s="292" t="s">
        <v>320</v>
      </c>
      <c r="E341" s="236">
        <v>6324</v>
      </c>
      <c r="F341" s="237"/>
      <c r="G341" s="237"/>
      <c r="H341" s="237"/>
      <c r="I341" s="352">
        <f t="shared" si="60"/>
        <v>0</v>
      </c>
      <c r="J341" s="1099"/>
      <c r="K341" s="1222"/>
      <c r="L341" s="295"/>
      <c r="O341" s="238">
        <f t="shared" si="61"/>
        <v>0</v>
      </c>
      <c r="P341" s="238">
        <f t="shared" si="61"/>
        <v>0</v>
      </c>
      <c r="Q341" s="238">
        <f t="shared" si="61"/>
        <v>0</v>
      </c>
      <c r="R341" s="238">
        <f t="shared" si="61"/>
        <v>0</v>
      </c>
      <c r="S341" s="273">
        <f t="shared" si="62"/>
        <v>0</v>
      </c>
    </row>
    <row r="342" spans="2:19" ht="18" customHeight="1">
      <c r="B342" s="231">
        <v>264</v>
      </c>
      <c r="C342" s="249"/>
      <c r="D342" s="240" t="s">
        <v>322</v>
      </c>
      <c r="E342" s="300">
        <v>6325</v>
      </c>
      <c r="F342" s="237"/>
      <c r="G342" s="237"/>
      <c r="H342" s="237"/>
      <c r="I342" s="352">
        <f t="shared" si="60"/>
        <v>0</v>
      </c>
      <c r="J342" s="1099"/>
      <c r="K342" s="1222"/>
      <c r="L342" s="295"/>
      <c r="O342" s="238">
        <f t="shared" si="61"/>
        <v>0</v>
      </c>
      <c r="P342" s="238">
        <f t="shared" si="61"/>
        <v>0</v>
      </c>
      <c r="Q342" s="238">
        <f t="shared" si="61"/>
        <v>0</v>
      </c>
      <c r="R342" s="238">
        <f t="shared" si="61"/>
        <v>0</v>
      </c>
      <c r="S342" s="273">
        <f t="shared" si="62"/>
        <v>0</v>
      </c>
    </row>
    <row r="343" spans="2:19" ht="18" customHeight="1">
      <c r="B343" s="231">
        <v>265</v>
      </c>
      <c r="C343" s="268"/>
      <c r="D343" s="313" t="s">
        <v>671</v>
      </c>
      <c r="E343" s="236">
        <v>6323</v>
      </c>
      <c r="F343" s="269"/>
      <c r="G343" s="269"/>
      <c r="H343" s="269"/>
      <c r="I343" s="352">
        <f t="shared" si="60"/>
        <v>0</v>
      </c>
      <c r="J343" s="1099"/>
      <c r="K343" s="1222"/>
      <c r="L343" s="295"/>
      <c r="O343" s="238">
        <f t="shared" si="61"/>
        <v>0</v>
      </c>
      <c r="P343" s="238">
        <f t="shared" si="61"/>
        <v>0</v>
      </c>
      <c r="Q343" s="238">
        <f t="shared" si="61"/>
        <v>0</v>
      </c>
      <c r="R343" s="238">
        <f t="shared" si="61"/>
        <v>0</v>
      </c>
      <c r="S343" s="273">
        <f t="shared" si="62"/>
        <v>0</v>
      </c>
    </row>
    <row r="344" spans="2:19" ht="18" customHeight="1" thickBot="1">
      <c r="B344" s="231">
        <v>266</v>
      </c>
      <c r="C344" s="303" t="s">
        <v>398</v>
      </c>
      <c r="D344" s="283"/>
      <c r="E344" s="283"/>
      <c r="F344" s="284">
        <f aca="true" t="shared" si="63" ref="F344:I345">O344</f>
        <v>0</v>
      </c>
      <c r="G344" s="284">
        <f t="shared" si="63"/>
        <v>0</v>
      </c>
      <c r="H344" s="284">
        <f t="shared" si="63"/>
        <v>0</v>
      </c>
      <c r="I344" s="353">
        <f t="shared" si="63"/>
        <v>0</v>
      </c>
      <c r="J344" s="1100"/>
      <c r="K344" s="1223"/>
      <c r="L344" s="295"/>
      <c r="O344" s="296">
        <f>ROUND(SUM(O338:O343),0)</f>
        <v>0</v>
      </c>
      <c r="P344" s="296">
        <f>ROUND(SUM(P338:P343),0)</f>
        <v>0</v>
      </c>
      <c r="Q344" s="296">
        <f>ROUND(SUM(Q338:Q343),0)</f>
        <v>0</v>
      </c>
      <c r="R344" s="296">
        <f>ROUND(SUM(R338:R343),0)</f>
        <v>0</v>
      </c>
      <c r="S344" s="297">
        <f>ROUND(SUM(S338:S343),0)</f>
        <v>0</v>
      </c>
    </row>
    <row r="345" spans="2:19" ht="15" customHeight="1" thickBot="1">
      <c r="B345" s="231">
        <v>267</v>
      </c>
      <c r="C345" s="1588" t="s">
        <v>701</v>
      </c>
      <c r="D345" s="283"/>
      <c r="E345" s="306">
        <v>6200</v>
      </c>
      <c r="F345" s="284">
        <f t="shared" si="63"/>
        <v>0</v>
      </c>
      <c r="G345" s="284">
        <f t="shared" si="63"/>
        <v>0</v>
      </c>
      <c r="H345" s="284">
        <f t="shared" si="63"/>
        <v>0</v>
      </c>
      <c r="I345" s="1579">
        <f t="shared" si="63"/>
        <v>0</v>
      </c>
      <c r="J345" s="1579">
        <f>_C001580+_C000733+_C000732+_C000708+_C000724+_C000716</f>
        <v>0</v>
      </c>
      <c r="K345" s="1224"/>
      <c r="L345" s="295"/>
      <c r="O345" s="296">
        <f>ROUND(SUM(O304+O312+O320+O328+O336+O344),0)</f>
        <v>0</v>
      </c>
      <c r="P345" s="296">
        <f>ROUND(SUM(P304+P312+P320+P328+P336+P344),0)</f>
        <v>0</v>
      </c>
      <c r="Q345" s="296">
        <f>ROUND(SUM(Q304+Q312+Q320+Q328+Q336+Q344),0)</f>
        <v>0</v>
      </c>
      <c r="R345" s="296">
        <f>ROUND(SUM(R304+R312+R320+R328+R336+R344),0)</f>
        <v>0</v>
      </c>
      <c r="S345" s="296">
        <f>ROUND(SUM(S304+S312+S320+S328+S336+S344),0)</f>
        <v>0</v>
      </c>
    </row>
    <row r="346" spans="2:18" s="252" customFormat="1" ht="15.75">
      <c r="B346" s="371" t="s">
        <v>399</v>
      </c>
      <c r="C346" s="358"/>
      <c r="D346" s="358"/>
      <c r="E346" s="205"/>
      <c r="F346" s="357"/>
      <c r="G346" s="357"/>
      <c r="H346" s="357"/>
      <c r="I346" s="357"/>
      <c r="J346" s="1104"/>
      <c r="K346" s="356"/>
      <c r="L346" s="370"/>
      <c r="O346" s="253"/>
      <c r="P346" s="253"/>
      <c r="Q346" s="253"/>
      <c r="R346" s="253"/>
    </row>
    <row r="347" spans="2:18" s="252" customFormat="1" ht="15.75">
      <c r="B347" s="371"/>
      <c r="C347" s="358"/>
      <c r="D347" s="358"/>
      <c r="E347" s="205"/>
      <c r="F347" s="357"/>
      <c r="G347" s="357"/>
      <c r="H347" s="357"/>
      <c r="I347" s="357"/>
      <c r="J347" s="1104"/>
      <c r="K347" s="356"/>
      <c r="L347" s="370"/>
      <c r="O347" s="253"/>
      <c r="P347" s="253"/>
      <c r="Q347" s="253"/>
      <c r="R347" s="253"/>
    </row>
    <row r="348" spans="3:4" ht="19.5" customHeight="1">
      <c r="C348" s="206" t="s">
        <v>265</v>
      </c>
      <c r="D348" s="922">
        <f>+$D$1</f>
        <v>0</v>
      </c>
    </row>
    <row r="349" spans="3:5" ht="19.5" customHeight="1">
      <c r="C349" s="206" t="s">
        <v>266</v>
      </c>
      <c r="D349" s="207">
        <f>+$D$2</f>
        <v>0</v>
      </c>
      <c r="E349" s="205" t="str">
        <f>Schedule_A!A3</f>
        <v>NURSING FACILITY 2019 COST REPORT</v>
      </c>
    </row>
    <row r="350" spans="3:5" ht="15.75" customHeight="1">
      <c r="C350" s="206"/>
      <c r="D350" s="210"/>
      <c r="E350" s="208"/>
    </row>
    <row r="351" spans="1:12" ht="18">
      <c r="A351" s="211" t="s">
        <v>198</v>
      </c>
      <c r="B351" s="212"/>
      <c r="C351" s="212"/>
      <c r="D351" s="212"/>
      <c r="E351" s="212"/>
      <c r="F351" s="212"/>
      <c r="G351" s="212"/>
      <c r="H351" s="212"/>
      <c r="I351" s="212"/>
      <c r="J351" s="401"/>
      <c r="L351" s="212"/>
    </row>
    <row r="352" spans="1:18" s="1592" customFormat="1" ht="24" thickBot="1">
      <c r="A352" s="1548" t="s">
        <v>400</v>
      </c>
      <c r="B352" s="1548"/>
      <c r="C352" s="1548"/>
      <c r="D352" s="1548"/>
      <c r="E352" s="1548"/>
      <c r="F352" s="1548"/>
      <c r="G352" s="1548"/>
      <c r="H352" s="1548"/>
      <c r="I352" s="1548"/>
      <c r="J352" s="1589"/>
      <c r="K352" s="1590"/>
      <c r="L352" s="1548"/>
      <c r="O352" s="1593"/>
      <c r="P352" s="1593"/>
      <c r="Q352" s="1593"/>
      <c r="R352" s="1593"/>
    </row>
    <row r="353" spans="1:12" ht="72.75" customHeight="1">
      <c r="A353" s="213"/>
      <c r="B353" s="256" t="s">
        <v>200</v>
      </c>
      <c r="C353" s="215"/>
      <c r="D353" s="216"/>
      <c r="E353" s="217" t="s">
        <v>464</v>
      </c>
      <c r="F353" s="217" t="s">
        <v>193</v>
      </c>
      <c r="G353" s="218" t="s">
        <v>468</v>
      </c>
      <c r="H353" s="219"/>
      <c r="I353" s="257" t="s">
        <v>201</v>
      </c>
      <c r="J353" s="1092"/>
      <c r="K353" s="1085" t="s">
        <v>202</v>
      </c>
      <c r="L353" s="258"/>
    </row>
    <row r="354" spans="1:12" ht="15.75">
      <c r="A354" s="213"/>
      <c r="B354" s="221" t="s">
        <v>203</v>
      </c>
      <c r="C354" s="222" t="s">
        <v>464</v>
      </c>
      <c r="D354" s="223"/>
      <c r="E354" s="224" t="s">
        <v>204</v>
      </c>
      <c r="F354" s="224" t="s">
        <v>205</v>
      </c>
      <c r="G354" s="224" t="s">
        <v>471</v>
      </c>
      <c r="H354" s="224" t="s">
        <v>472</v>
      </c>
      <c r="I354" s="260" t="s">
        <v>193</v>
      </c>
      <c r="J354" s="1093" t="s">
        <v>144</v>
      </c>
      <c r="K354" s="260"/>
      <c r="L354" s="261"/>
    </row>
    <row r="355" spans="1:12" ht="15.75">
      <c r="A355" s="213"/>
      <c r="B355" s="226"/>
      <c r="C355" s="227"/>
      <c r="D355" s="228"/>
      <c r="E355" s="229" t="s">
        <v>473</v>
      </c>
      <c r="F355" s="229" t="s">
        <v>474</v>
      </c>
      <c r="G355" s="229" t="s">
        <v>475</v>
      </c>
      <c r="H355" s="229" t="s">
        <v>476</v>
      </c>
      <c r="I355" s="262" t="s">
        <v>477</v>
      </c>
      <c r="J355" s="1094" t="s">
        <v>478</v>
      </c>
      <c r="K355" s="262" t="s">
        <v>479</v>
      </c>
      <c r="L355" s="263"/>
    </row>
    <row r="356" spans="2:12" ht="19.5" customHeight="1">
      <c r="B356" s="231">
        <v>268</v>
      </c>
      <c r="C356" s="320" t="s">
        <v>401</v>
      </c>
      <c r="D356" s="265"/>
      <c r="E356" s="287"/>
      <c r="F356" s="287"/>
      <c r="G356" s="287"/>
      <c r="H356" s="287"/>
      <c r="I356" s="288"/>
      <c r="J356" s="1096"/>
      <c r="K356" s="1222"/>
      <c r="L356" s="289"/>
    </row>
    <row r="357" spans="2:18" ht="19.5" customHeight="1">
      <c r="B357" s="231">
        <v>269</v>
      </c>
      <c r="C357" s="265" t="s">
        <v>402</v>
      </c>
      <c r="D357" s="265"/>
      <c r="E357" s="236">
        <v>6513</v>
      </c>
      <c r="F357" s="237"/>
      <c r="G357" s="237"/>
      <c r="H357" s="237"/>
      <c r="I357" s="311">
        <f aca="true" t="shared" si="64" ref="I357:I364">+F357+G357-H357</f>
        <v>0</v>
      </c>
      <c r="J357" s="1102"/>
      <c r="K357" s="1222"/>
      <c r="L357" s="347"/>
      <c r="O357" s="238">
        <f aca="true" t="shared" si="65" ref="O357:R364">ROUND(F357,0)</f>
        <v>0</v>
      </c>
      <c r="P357" s="238">
        <f t="shared" si="65"/>
        <v>0</v>
      </c>
      <c r="Q357" s="238">
        <f t="shared" si="65"/>
        <v>0</v>
      </c>
      <c r="R357" s="238">
        <f t="shared" si="65"/>
        <v>0</v>
      </c>
    </row>
    <row r="358" spans="2:18" ht="19.5" customHeight="1">
      <c r="B358" s="231">
        <v>270</v>
      </c>
      <c r="C358" s="280" t="s">
        <v>403</v>
      </c>
      <c r="D358" s="265"/>
      <c r="E358" s="236">
        <v>6514</v>
      </c>
      <c r="F358" s="237"/>
      <c r="G358" s="237"/>
      <c r="H358" s="237"/>
      <c r="I358" s="311">
        <f t="shared" si="64"/>
        <v>0</v>
      </c>
      <c r="J358" s="1102"/>
      <c r="K358" s="1222"/>
      <c r="L358" s="347"/>
      <c r="O358" s="238">
        <f t="shared" si="65"/>
        <v>0</v>
      </c>
      <c r="P358" s="238">
        <f t="shared" si="65"/>
        <v>0</v>
      </c>
      <c r="Q358" s="238">
        <f t="shared" si="65"/>
        <v>0</v>
      </c>
      <c r="R358" s="238">
        <f t="shared" si="65"/>
        <v>0</v>
      </c>
    </row>
    <row r="359" spans="2:18" ht="19.5" customHeight="1">
      <c r="B359" s="231">
        <v>271</v>
      </c>
      <c r="C359" s="1246" t="s">
        <v>551</v>
      </c>
      <c r="D359" s="265"/>
      <c r="E359" s="236">
        <v>6515</v>
      </c>
      <c r="F359" s="237"/>
      <c r="G359" s="237"/>
      <c r="H359" s="237"/>
      <c r="I359" s="311">
        <f t="shared" si="64"/>
        <v>0</v>
      </c>
      <c r="J359" s="1102"/>
      <c r="K359" s="1222"/>
      <c r="L359" s="347"/>
      <c r="O359" s="238">
        <f t="shared" si="65"/>
        <v>0</v>
      </c>
      <c r="P359" s="238">
        <f t="shared" si="65"/>
        <v>0</v>
      </c>
      <c r="Q359" s="238">
        <f t="shared" si="65"/>
        <v>0</v>
      </c>
      <c r="R359" s="238">
        <f t="shared" si="65"/>
        <v>0</v>
      </c>
    </row>
    <row r="360" spans="2:18" ht="19.5" customHeight="1">
      <c r="B360" s="231">
        <v>272</v>
      </c>
      <c r="C360" s="1246" t="s">
        <v>666</v>
      </c>
      <c r="D360" s="372"/>
      <c r="E360" s="373">
        <v>6516</v>
      </c>
      <c r="F360" s="374"/>
      <c r="G360" s="374"/>
      <c r="H360" s="374"/>
      <c r="I360" s="311">
        <f t="shared" si="64"/>
        <v>0</v>
      </c>
      <c r="J360" s="1102"/>
      <c r="K360" s="1222"/>
      <c r="L360" s="347"/>
      <c r="O360" s="238">
        <f t="shared" si="65"/>
        <v>0</v>
      </c>
      <c r="P360" s="238">
        <f t="shared" si="65"/>
        <v>0</v>
      </c>
      <c r="Q360" s="238">
        <f t="shared" si="65"/>
        <v>0</v>
      </c>
      <c r="R360" s="238">
        <f t="shared" si="65"/>
        <v>0</v>
      </c>
    </row>
    <row r="361" spans="2:18" ht="19.5" customHeight="1">
      <c r="B361" s="231">
        <v>273</v>
      </c>
      <c r="C361" s="372" t="s">
        <v>404</v>
      </c>
      <c r="D361" s="372"/>
      <c r="E361" s="373">
        <v>6517</v>
      </c>
      <c r="F361" s="374"/>
      <c r="G361" s="374"/>
      <c r="H361" s="374"/>
      <c r="I361" s="311">
        <f t="shared" si="64"/>
        <v>0</v>
      </c>
      <c r="J361" s="1102"/>
      <c r="K361" s="1222"/>
      <c r="L361" s="347"/>
      <c r="O361" s="238">
        <f t="shared" si="65"/>
        <v>0</v>
      </c>
      <c r="P361" s="238">
        <f t="shared" si="65"/>
        <v>0</v>
      </c>
      <c r="Q361" s="238">
        <f t="shared" si="65"/>
        <v>0</v>
      </c>
      <c r="R361" s="238">
        <f t="shared" si="65"/>
        <v>0</v>
      </c>
    </row>
    <row r="362" spans="2:18" ht="19.5" customHeight="1">
      <c r="B362" s="231">
        <v>274</v>
      </c>
      <c r="C362" s="265" t="s">
        <v>405</v>
      </c>
      <c r="D362" s="265"/>
      <c r="E362" s="300">
        <v>6518</v>
      </c>
      <c r="F362" s="237"/>
      <c r="G362" s="237"/>
      <c r="H362" s="237"/>
      <c r="I362" s="311">
        <f t="shared" si="64"/>
        <v>0</v>
      </c>
      <c r="J362" s="1102"/>
      <c r="K362" s="1222"/>
      <c r="L362" s="347"/>
      <c r="O362" s="238">
        <f t="shared" si="65"/>
        <v>0</v>
      </c>
      <c r="P362" s="238">
        <f t="shared" si="65"/>
        <v>0</v>
      </c>
      <c r="Q362" s="238">
        <f t="shared" si="65"/>
        <v>0</v>
      </c>
      <c r="R362" s="238">
        <f t="shared" si="65"/>
        <v>0</v>
      </c>
    </row>
    <row r="363" spans="2:18" ht="19.5" customHeight="1">
      <c r="B363" s="231">
        <v>275</v>
      </c>
      <c r="C363" s="265" t="s">
        <v>406</v>
      </c>
      <c r="D363" s="208"/>
      <c r="E363" s="301">
        <v>6519</v>
      </c>
      <c r="F363" s="302"/>
      <c r="G363" s="302"/>
      <c r="H363" s="302"/>
      <c r="I363" s="375">
        <f t="shared" si="64"/>
        <v>0</v>
      </c>
      <c r="J363" s="1101"/>
      <c r="K363" s="1222"/>
      <c r="L363" s="347"/>
      <c r="O363" s="238">
        <f t="shared" si="65"/>
        <v>0</v>
      </c>
      <c r="P363" s="238">
        <f t="shared" si="65"/>
        <v>0</v>
      </c>
      <c r="Q363" s="238">
        <f t="shared" si="65"/>
        <v>0</v>
      </c>
      <c r="R363" s="238">
        <f t="shared" si="65"/>
        <v>0</v>
      </c>
    </row>
    <row r="364" spans="2:18" ht="19.5" customHeight="1">
      <c r="B364" s="231">
        <v>276</v>
      </c>
      <c r="C364" s="910" t="s">
        <v>407</v>
      </c>
      <c r="D364" s="364"/>
      <c r="E364" s="1672">
        <v>901021</v>
      </c>
      <c r="F364" s="337"/>
      <c r="G364" s="337"/>
      <c r="H364" s="337"/>
      <c r="I364" s="311">
        <f t="shared" si="64"/>
        <v>0</v>
      </c>
      <c r="J364" s="1105"/>
      <c r="K364" s="1222"/>
      <c r="L364" s="366"/>
      <c r="O364" s="238">
        <f t="shared" si="65"/>
        <v>0</v>
      </c>
      <c r="P364" s="238">
        <f t="shared" si="65"/>
        <v>0</v>
      </c>
      <c r="Q364" s="238">
        <f t="shared" si="65"/>
        <v>0</v>
      </c>
      <c r="R364" s="238">
        <f t="shared" si="65"/>
        <v>0</v>
      </c>
    </row>
    <row r="365" spans="2:18" ht="19.5" customHeight="1" thickBot="1">
      <c r="B365" s="231">
        <v>277</v>
      </c>
      <c r="C365" s="911" t="s">
        <v>763</v>
      </c>
      <c r="D365" s="397"/>
      <c r="E365" s="1673">
        <v>902032</v>
      </c>
      <c r="F365" s="316"/>
      <c r="G365" s="316"/>
      <c r="H365" s="316"/>
      <c r="I365" s="909">
        <f>+F365+G365-H365</f>
        <v>0</v>
      </c>
      <c r="J365" s="1106"/>
      <c r="K365" s="1223"/>
      <c r="L365" s="366"/>
      <c r="O365" s="238">
        <f>ROUND(F365,0)</f>
        <v>0</v>
      </c>
      <c r="P365" s="238">
        <f>ROUND(G365,0)</f>
        <v>0</v>
      </c>
      <c r="Q365" s="238">
        <f>ROUND(H365,0)</f>
        <v>0</v>
      </c>
      <c r="R365" s="238">
        <f>ROUND(I365,0)</f>
        <v>0</v>
      </c>
    </row>
    <row r="366" spans="2:12" ht="19.5" customHeight="1">
      <c r="B366" s="231">
        <v>278</v>
      </c>
      <c r="C366" s="376"/>
      <c r="D366" s="293" t="s">
        <v>408</v>
      </c>
      <c r="E366" s="1674"/>
      <c r="F366" s="234"/>
      <c r="G366" s="234"/>
      <c r="H366" s="234"/>
      <c r="I366" s="377"/>
      <c r="J366" s="1107"/>
      <c r="K366" s="1221"/>
      <c r="L366" s="366"/>
    </row>
    <row r="367" spans="2:18" ht="19.5" customHeight="1">
      <c r="B367" s="231">
        <v>279</v>
      </c>
      <c r="C367" s="268"/>
      <c r="D367" s="1281" t="s">
        <v>556</v>
      </c>
      <c r="E367" s="1675">
        <v>901022</v>
      </c>
      <c r="F367" s="237"/>
      <c r="G367" s="237"/>
      <c r="H367" s="237"/>
      <c r="I367" s="311">
        <f aca="true" t="shared" si="66" ref="I367:I411">+F367+G367-H367</f>
        <v>0</v>
      </c>
      <c r="J367" s="1107"/>
      <c r="K367" s="1222"/>
      <c r="L367" s="366"/>
      <c r="O367" s="238">
        <f aca="true" t="shared" si="67" ref="O367:R391">ROUND(F367,0)</f>
        <v>0</v>
      </c>
      <c r="P367" s="238">
        <f t="shared" si="67"/>
        <v>0</v>
      </c>
      <c r="Q367" s="238">
        <f t="shared" si="67"/>
        <v>0</v>
      </c>
      <c r="R367" s="238">
        <f t="shared" si="67"/>
        <v>0</v>
      </c>
    </row>
    <row r="368" spans="2:18" ht="19.5" customHeight="1">
      <c r="B368" s="231">
        <v>280</v>
      </c>
      <c r="C368" s="268"/>
      <c r="D368" s="1281" t="s">
        <v>593</v>
      </c>
      <c r="E368" s="1675">
        <v>901023</v>
      </c>
      <c r="F368" s="237"/>
      <c r="G368" s="237"/>
      <c r="H368" s="237"/>
      <c r="I368" s="311">
        <f t="shared" si="66"/>
        <v>0</v>
      </c>
      <c r="J368" s="1107"/>
      <c r="K368" s="1222"/>
      <c r="L368" s="366"/>
      <c r="O368" s="238">
        <f t="shared" si="67"/>
        <v>0</v>
      </c>
      <c r="P368" s="238">
        <f t="shared" si="67"/>
        <v>0</v>
      </c>
      <c r="Q368" s="238">
        <f t="shared" si="67"/>
        <v>0</v>
      </c>
      <c r="R368" s="238">
        <f t="shared" si="67"/>
        <v>0</v>
      </c>
    </row>
    <row r="369" spans="2:18" ht="19.5" customHeight="1">
      <c r="B369" s="231">
        <v>281</v>
      </c>
      <c r="C369" s="268"/>
      <c r="D369" s="1281" t="s">
        <v>552</v>
      </c>
      <c r="E369" s="1675">
        <v>901024</v>
      </c>
      <c r="F369" s="237"/>
      <c r="G369" s="237"/>
      <c r="H369" s="237"/>
      <c r="I369" s="311">
        <f t="shared" si="66"/>
        <v>0</v>
      </c>
      <c r="J369" s="1107"/>
      <c r="K369" s="1222"/>
      <c r="L369" s="366"/>
      <c r="O369" s="238">
        <f t="shared" si="67"/>
        <v>0</v>
      </c>
      <c r="P369" s="238">
        <f t="shared" si="67"/>
        <v>0</v>
      </c>
      <c r="Q369" s="238">
        <f t="shared" si="67"/>
        <v>0</v>
      </c>
      <c r="R369" s="238">
        <f t="shared" si="67"/>
        <v>0</v>
      </c>
    </row>
    <row r="370" spans="2:18" ht="19.5" customHeight="1">
      <c r="B370" s="231">
        <v>282</v>
      </c>
      <c r="C370" s="268"/>
      <c r="D370" s="1281" t="s">
        <v>1046</v>
      </c>
      <c r="E370" s="1675">
        <v>901025</v>
      </c>
      <c r="F370" s="237"/>
      <c r="G370" s="237"/>
      <c r="H370" s="237"/>
      <c r="I370" s="311">
        <f t="shared" si="66"/>
        <v>0</v>
      </c>
      <c r="J370" s="1107"/>
      <c r="K370" s="1222"/>
      <c r="L370" s="366"/>
      <c r="O370" s="238">
        <f t="shared" si="67"/>
        <v>0</v>
      </c>
      <c r="P370" s="238">
        <f t="shared" si="67"/>
        <v>0</v>
      </c>
      <c r="Q370" s="238">
        <f t="shared" si="67"/>
        <v>0</v>
      </c>
      <c r="R370" s="238">
        <f t="shared" si="67"/>
        <v>0</v>
      </c>
    </row>
    <row r="371" spans="2:18" ht="19.5" customHeight="1">
      <c r="B371" s="231">
        <v>283</v>
      </c>
      <c r="C371" s="268"/>
      <c r="D371" s="1282" t="s">
        <v>553</v>
      </c>
      <c r="E371" s="1675">
        <v>901026</v>
      </c>
      <c r="F371" s="237"/>
      <c r="G371" s="237"/>
      <c r="H371" s="237"/>
      <c r="I371" s="311">
        <f t="shared" si="66"/>
        <v>0</v>
      </c>
      <c r="J371" s="1107"/>
      <c r="K371" s="1222"/>
      <c r="L371" s="366"/>
      <c r="O371" s="238">
        <f t="shared" si="67"/>
        <v>0</v>
      </c>
      <c r="P371" s="238">
        <f t="shared" si="67"/>
        <v>0</v>
      </c>
      <c r="Q371" s="238">
        <f t="shared" si="67"/>
        <v>0</v>
      </c>
      <c r="R371" s="238">
        <f t="shared" si="67"/>
        <v>0</v>
      </c>
    </row>
    <row r="372" spans="2:18" ht="19.5" customHeight="1">
      <c r="B372" s="231">
        <v>284</v>
      </c>
      <c r="C372" s="268"/>
      <c r="D372" s="1281" t="s">
        <v>594</v>
      </c>
      <c r="E372" s="1675">
        <v>901027</v>
      </c>
      <c r="F372" s="237"/>
      <c r="G372" s="237"/>
      <c r="H372" s="237"/>
      <c r="I372" s="311">
        <f t="shared" si="66"/>
        <v>0</v>
      </c>
      <c r="J372" s="1107"/>
      <c r="K372" s="1222"/>
      <c r="L372" s="366"/>
      <c r="O372" s="238">
        <f t="shared" si="67"/>
        <v>0</v>
      </c>
      <c r="P372" s="238">
        <f t="shared" si="67"/>
        <v>0</v>
      </c>
      <c r="Q372" s="238">
        <f t="shared" si="67"/>
        <v>0</v>
      </c>
      <c r="R372" s="238">
        <f t="shared" si="67"/>
        <v>0</v>
      </c>
    </row>
    <row r="373" spans="2:18" ht="19.5" customHeight="1">
      <c r="B373" s="231">
        <v>285</v>
      </c>
      <c r="C373" s="268"/>
      <c r="D373" s="1281" t="s">
        <v>554</v>
      </c>
      <c r="E373" s="1675">
        <v>901028</v>
      </c>
      <c r="F373" s="237"/>
      <c r="G373" s="237"/>
      <c r="H373" s="237"/>
      <c r="I373" s="311">
        <f t="shared" si="66"/>
        <v>0</v>
      </c>
      <c r="J373" s="1107"/>
      <c r="K373" s="1222"/>
      <c r="L373" s="366"/>
      <c r="O373" s="238">
        <f t="shared" si="67"/>
        <v>0</v>
      </c>
      <c r="P373" s="238">
        <f t="shared" si="67"/>
        <v>0</v>
      </c>
      <c r="Q373" s="238">
        <f t="shared" si="67"/>
        <v>0</v>
      </c>
      <c r="R373" s="238">
        <f t="shared" si="67"/>
        <v>0</v>
      </c>
    </row>
    <row r="374" spans="2:18" ht="19.5" customHeight="1">
      <c r="B374" s="231">
        <v>286</v>
      </c>
      <c r="C374" s="268"/>
      <c r="D374" s="1281" t="s">
        <v>555</v>
      </c>
      <c r="E374" s="1675">
        <v>901029</v>
      </c>
      <c r="F374" s="237"/>
      <c r="G374" s="237"/>
      <c r="H374" s="237"/>
      <c r="I374" s="311">
        <f t="shared" si="66"/>
        <v>0</v>
      </c>
      <c r="J374" s="1107"/>
      <c r="K374" s="1222"/>
      <c r="L374" s="366"/>
      <c r="O374" s="238">
        <f t="shared" si="67"/>
        <v>0</v>
      </c>
      <c r="P374" s="238">
        <f t="shared" si="67"/>
        <v>0</v>
      </c>
      <c r="Q374" s="238">
        <f t="shared" si="67"/>
        <v>0</v>
      </c>
      <c r="R374" s="238">
        <f t="shared" si="67"/>
        <v>0</v>
      </c>
    </row>
    <row r="375" spans="2:18" ht="19.5" customHeight="1">
      <c r="B375" s="231">
        <v>287</v>
      </c>
      <c r="C375" s="268"/>
      <c r="D375" s="1281" t="s">
        <v>557</v>
      </c>
      <c r="E375" s="1675">
        <v>901030</v>
      </c>
      <c r="F375" s="237"/>
      <c r="G375" s="237"/>
      <c r="H375" s="237"/>
      <c r="I375" s="311">
        <f t="shared" si="66"/>
        <v>0</v>
      </c>
      <c r="J375" s="1107"/>
      <c r="K375" s="1222"/>
      <c r="L375" s="366"/>
      <c r="O375" s="238">
        <f t="shared" si="67"/>
        <v>0</v>
      </c>
      <c r="P375" s="238">
        <f t="shared" si="67"/>
        <v>0</v>
      </c>
      <c r="Q375" s="238">
        <f t="shared" si="67"/>
        <v>0</v>
      </c>
      <c r="R375" s="238">
        <f t="shared" si="67"/>
        <v>0</v>
      </c>
    </row>
    <row r="376" spans="2:18" ht="19.5" customHeight="1">
      <c r="B376" s="231">
        <v>288</v>
      </c>
      <c r="C376" s="268"/>
      <c r="D376" s="1281" t="s">
        <v>558</v>
      </c>
      <c r="E376" s="1675">
        <v>901031</v>
      </c>
      <c r="F376" s="237"/>
      <c r="G376" s="237"/>
      <c r="H376" s="237"/>
      <c r="I376" s="311">
        <f t="shared" si="66"/>
        <v>0</v>
      </c>
      <c r="J376" s="1107"/>
      <c r="K376" s="1222"/>
      <c r="L376" s="366"/>
      <c r="O376" s="238">
        <f t="shared" si="67"/>
        <v>0</v>
      </c>
      <c r="P376" s="238">
        <f t="shared" si="67"/>
        <v>0</v>
      </c>
      <c r="Q376" s="238">
        <f t="shared" si="67"/>
        <v>0</v>
      </c>
      <c r="R376" s="238">
        <f t="shared" si="67"/>
        <v>0</v>
      </c>
    </row>
    <row r="377" spans="2:18" ht="19.5" customHeight="1">
      <c r="B377" s="231">
        <v>289</v>
      </c>
      <c r="C377" s="268"/>
      <c r="D377" s="1281" t="s">
        <v>559</v>
      </c>
      <c r="E377" s="1675">
        <v>901032</v>
      </c>
      <c r="F377" s="237"/>
      <c r="G377" s="237"/>
      <c r="H377" s="237"/>
      <c r="I377" s="311">
        <f t="shared" si="66"/>
        <v>0</v>
      </c>
      <c r="J377" s="1107"/>
      <c r="K377" s="1222"/>
      <c r="L377" s="366"/>
      <c r="O377" s="238">
        <f t="shared" si="67"/>
        <v>0</v>
      </c>
      <c r="P377" s="238">
        <f t="shared" si="67"/>
        <v>0</v>
      </c>
      <c r="Q377" s="238">
        <f t="shared" si="67"/>
        <v>0</v>
      </c>
      <c r="R377" s="238">
        <f t="shared" si="67"/>
        <v>0</v>
      </c>
    </row>
    <row r="378" spans="2:18" ht="19.5" customHeight="1">
      <c r="B378" s="231">
        <v>290</v>
      </c>
      <c r="C378" s="268"/>
      <c r="D378" s="1332" t="s">
        <v>619</v>
      </c>
      <c r="E378" s="1675">
        <v>901033</v>
      </c>
      <c r="F378" s="237"/>
      <c r="G378" s="237"/>
      <c r="H378" s="237"/>
      <c r="I378" s="311">
        <f t="shared" si="66"/>
        <v>0</v>
      </c>
      <c r="J378" s="1107"/>
      <c r="K378" s="1222"/>
      <c r="L378" s="366"/>
      <c r="O378" s="238">
        <f t="shared" si="67"/>
        <v>0</v>
      </c>
      <c r="P378" s="238">
        <f t="shared" si="67"/>
        <v>0</v>
      </c>
      <c r="Q378" s="238">
        <f t="shared" si="67"/>
        <v>0</v>
      </c>
      <c r="R378" s="238">
        <f t="shared" si="67"/>
        <v>0</v>
      </c>
    </row>
    <row r="379" spans="2:18" ht="19.5" customHeight="1">
      <c r="B379" s="231">
        <v>291</v>
      </c>
      <c r="C379" s="268"/>
      <c r="D379" s="1332" t="s">
        <v>620</v>
      </c>
      <c r="E379" s="1675">
        <v>901034</v>
      </c>
      <c r="F379" s="237"/>
      <c r="G379" s="237"/>
      <c r="H379" s="237"/>
      <c r="I379" s="311">
        <f t="shared" si="66"/>
        <v>0</v>
      </c>
      <c r="J379" s="1107"/>
      <c r="K379" s="1222"/>
      <c r="L379" s="366"/>
      <c r="O379" s="238">
        <f t="shared" si="67"/>
        <v>0</v>
      </c>
      <c r="P379" s="238">
        <f t="shared" si="67"/>
        <v>0</v>
      </c>
      <c r="Q379" s="238">
        <f t="shared" si="67"/>
        <v>0</v>
      </c>
      <c r="R379" s="238">
        <f t="shared" si="67"/>
        <v>0</v>
      </c>
    </row>
    <row r="380" spans="2:18" ht="19.5" customHeight="1">
      <c r="B380" s="231">
        <v>292</v>
      </c>
      <c r="C380" s="268"/>
      <c r="D380" s="981" t="s">
        <v>754</v>
      </c>
      <c r="E380" s="1675">
        <v>901035</v>
      </c>
      <c r="F380" s="237"/>
      <c r="G380" s="237"/>
      <c r="H380" s="237"/>
      <c r="I380" s="311">
        <f t="shared" si="66"/>
        <v>0</v>
      </c>
      <c r="J380" s="1107"/>
      <c r="K380" s="1222"/>
      <c r="L380" s="366"/>
      <c r="O380" s="238">
        <f t="shared" si="67"/>
        <v>0</v>
      </c>
      <c r="P380" s="238">
        <f t="shared" si="67"/>
        <v>0</v>
      </c>
      <c r="Q380" s="238">
        <f t="shared" si="67"/>
        <v>0</v>
      </c>
      <c r="R380" s="238">
        <f t="shared" si="67"/>
        <v>0</v>
      </c>
    </row>
    <row r="381" spans="2:18" ht="19.5" customHeight="1">
      <c r="B381" s="231">
        <v>293</v>
      </c>
      <c r="C381" s="268"/>
      <c r="D381" s="981" t="s">
        <v>754</v>
      </c>
      <c r="E381" s="1675">
        <v>901036</v>
      </c>
      <c r="F381" s="237"/>
      <c r="G381" s="237"/>
      <c r="H381" s="237"/>
      <c r="I381" s="311">
        <f t="shared" si="66"/>
        <v>0</v>
      </c>
      <c r="J381" s="1107"/>
      <c r="K381" s="1222"/>
      <c r="L381" s="366"/>
      <c r="O381" s="238">
        <f t="shared" si="67"/>
        <v>0</v>
      </c>
      <c r="P381" s="238">
        <f t="shared" si="67"/>
        <v>0</v>
      </c>
      <c r="Q381" s="238">
        <f t="shared" si="67"/>
        <v>0</v>
      </c>
      <c r="R381" s="238">
        <f t="shared" si="67"/>
        <v>0</v>
      </c>
    </row>
    <row r="382" spans="2:18" ht="19.5" customHeight="1">
      <c r="B382" s="231">
        <v>294</v>
      </c>
      <c r="C382" s="268"/>
      <c r="D382" s="981" t="s">
        <v>754</v>
      </c>
      <c r="E382" s="1675">
        <v>901037</v>
      </c>
      <c r="F382" s="237"/>
      <c r="G382" s="237"/>
      <c r="H382" s="237"/>
      <c r="I382" s="311">
        <f t="shared" si="66"/>
        <v>0</v>
      </c>
      <c r="J382" s="1107"/>
      <c r="K382" s="1222"/>
      <c r="L382" s="366"/>
      <c r="O382" s="238">
        <f t="shared" si="67"/>
        <v>0</v>
      </c>
      <c r="P382" s="238">
        <f t="shared" si="67"/>
        <v>0</v>
      </c>
      <c r="Q382" s="238">
        <f t="shared" si="67"/>
        <v>0</v>
      </c>
      <c r="R382" s="238">
        <f t="shared" si="67"/>
        <v>0</v>
      </c>
    </row>
    <row r="383" spans="2:18" ht="19.5" customHeight="1">
      <c r="B383" s="231">
        <v>295</v>
      </c>
      <c r="C383" s="340"/>
      <c r="D383" s="981" t="s">
        <v>754</v>
      </c>
      <c r="E383" s="1675">
        <v>901038</v>
      </c>
      <c r="F383" s="337"/>
      <c r="G383" s="337"/>
      <c r="H383" s="337"/>
      <c r="I383" s="311">
        <f t="shared" si="66"/>
        <v>0</v>
      </c>
      <c r="J383" s="1108"/>
      <c r="K383" s="1222"/>
      <c r="L383" s="366"/>
      <c r="O383" s="238">
        <f t="shared" si="67"/>
        <v>0</v>
      </c>
      <c r="P383" s="238">
        <f t="shared" si="67"/>
        <v>0</v>
      </c>
      <c r="Q383" s="238">
        <f t="shared" si="67"/>
        <v>0</v>
      </c>
      <c r="R383" s="238">
        <f t="shared" si="67"/>
        <v>0</v>
      </c>
    </row>
    <row r="384" spans="2:18" ht="19.5" customHeight="1">
      <c r="B384" s="231">
        <v>296</v>
      </c>
      <c r="C384" s="268"/>
      <c r="D384" s="981" t="s">
        <v>754</v>
      </c>
      <c r="E384" s="1675">
        <v>901039</v>
      </c>
      <c r="F384" s="237"/>
      <c r="G384" s="237"/>
      <c r="H384" s="237"/>
      <c r="I384" s="311">
        <f t="shared" si="66"/>
        <v>0</v>
      </c>
      <c r="J384" s="1107"/>
      <c r="K384" s="1222"/>
      <c r="L384" s="366"/>
      <c r="O384" s="238">
        <f t="shared" si="67"/>
        <v>0</v>
      </c>
      <c r="P384" s="238">
        <f t="shared" si="67"/>
        <v>0</v>
      </c>
      <c r="Q384" s="238">
        <f t="shared" si="67"/>
        <v>0</v>
      </c>
      <c r="R384" s="238">
        <f t="shared" si="67"/>
        <v>0</v>
      </c>
    </row>
    <row r="385" spans="2:18" ht="19.5" customHeight="1">
      <c r="B385" s="231">
        <v>297</v>
      </c>
      <c r="C385" s="268"/>
      <c r="D385" s="981" t="s">
        <v>754</v>
      </c>
      <c r="E385" s="1675">
        <v>901040</v>
      </c>
      <c r="F385" s="237"/>
      <c r="G385" s="237"/>
      <c r="H385" s="237"/>
      <c r="I385" s="311">
        <f t="shared" si="66"/>
        <v>0</v>
      </c>
      <c r="J385" s="1107"/>
      <c r="K385" s="1222"/>
      <c r="L385" s="366"/>
      <c r="O385" s="238">
        <f t="shared" si="67"/>
        <v>0</v>
      </c>
      <c r="P385" s="238">
        <f t="shared" si="67"/>
        <v>0</v>
      </c>
      <c r="Q385" s="238">
        <f t="shared" si="67"/>
        <v>0</v>
      </c>
      <c r="R385" s="238">
        <f t="shared" si="67"/>
        <v>0</v>
      </c>
    </row>
    <row r="386" spans="2:18" ht="19.5" customHeight="1">
      <c r="B386" s="231">
        <v>298</v>
      </c>
      <c r="C386" s="268"/>
      <c r="D386" s="981" t="s">
        <v>754</v>
      </c>
      <c r="E386" s="1675">
        <v>901041</v>
      </c>
      <c r="F386" s="237"/>
      <c r="G386" s="237"/>
      <c r="H386" s="237"/>
      <c r="I386" s="311">
        <f t="shared" si="66"/>
        <v>0</v>
      </c>
      <c r="J386" s="1107"/>
      <c r="K386" s="1222"/>
      <c r="L386" s="366"/>
      <c r="O386" s="238">
        <f t="shared" si="67"/>
        <v>0</v>
      </c>
      <c r="P386" s="238">
        <f t="shared" si="67"/>
        <v>0</v>
      </c>
      <c r="Q386" s="238">
        <f t="shared" si="67"/>
        <v>0</v>
      </c>
      <c r="R386" s="238">
        <f t="shared" si="67"/>
        <v>0</v>
      </c>
    </row>
    <row r="387" spans="2:18" ht="19.5" customHeight="1">
      <c r="B387" s="231">
        <v>299</v>
      </c>
      <c r="C387" s="268"/>
      <c r="D387" s="981" t="s">
        <v>754</v>
      </c>
      <c r="E387" s="1675">
        <v>901042</v>
      </c>
      <c r="F387" s="237"/>
      <c r="G387" s="237"/>
      <c r="H387" s="237"/>
      <c r="I387" s="311">
        <f t="shared" si="66"/>
        <v>0</v>
      </c>
      <c r="J387" s="1107"/>
      <c r="K387" s="1222"/>
      <c r="L387" s="366"/>
      <c r="O387" s="238">
        <f t="shared" si="67"/>
        <v>0</v>
      </c>
      <c r="P387" s="238">
        <f t="shared" si="67"/>
        <v>0</v>
      </c>
      <c r="Q387" s="238">
        <f t="shared" si="67"/>
        <v>0</v>
      </c>
      <c r="R387" s="238">
        <f t="shared" si="67"/>
        <v>0</v>
      </c>
    </row>
    <row r="388" spans="2:18" ht="19.5" customHeight="1">
      <c r="B388" s="231">
        <v>300</v>
      </c>
      <c r="C388" s="268"/>
      <c r="D388" s="981" t="s">
        <v>754</v>
      </c>
      <c r="E388" s="1675">
        <v>901043</v>
      </c>
      <c r="F388" s="237"/>
      <c r="G388" s="237"/>
      <c r="H388" s="237"/>
      <c r="I388" s="311">
        <f t="shared" si="66"/>
        <v>0</v>
      </c>
      <c r="J388" s="1107"/>
      <c r="K388" s="1222"/>
      <c r="L388" s="366"/>
      <c r="O388" s="238">
        <f t="shared" si="67"/>
        <v>0</v>
      </c>
      <c r="P388" s="238">
        <f t="shared" si="67"/>
        <v>0</v>
      </c>
      <c r="Q388" s="238">
        <f t="shared" si="67"/>
        <v>0</v>
      </c>
      <c r="R388" s="238">
        <f t="shared" si="67"/>
        <v>0</v>
      </c>
    </row>
    <row r="389" spans="2:18" ht="19.5" customHeight="1">
      <c r="B389" s="231">
        <v>301</v>
      </c>
      <c r="C389" s="268"/>
      <c r="D389" s="981" t="s">
        <v>754</v>
      </c>
      <c r="E389" s="1675">
        <v>901044</v>
      </c>
      <c r="F389" s="237"/>
      <c r="G389" s="237"/>
      <c r="H389" s="237"/>
      <c r="I389" s="311">
        <f t="shared" si="66"/>
        <v>0</v>
      </c>
      <c r="J389" s="1107"/>
      <c r="K389" s="1222"/>
      <c r="L389" s="366"/>
      <c r="O389" s="238">
        <f t="shared" si="67"/>
        <v>0</v>
      </c>
      <c r="P389" s="238">
        <f t="shared" si="67"/>
        <v>0</v>
      </c>
      <c r="Q389" s="238">
        <f t="shared" si="67"/>
        <v>0</v>
      </c>
      <c r="R389" s="238">
        <f t="shared" si="67"/>
        <v>0</v>
      </c>
    </row>
    <row r="390" spans="2:18" ht="19.5" customHeight="1">
      <c r="B390" s="231">
        <v>302</v>
      </c>
      <c r="C390" s="268"/>
      <c r="D390" s="981" t="s">
        <v>754</v>
      </c>
      <c r="E390" s="1675">
        <v>901045</v>
      </c>
      <c r="F390" s="237"/>
      <c r="G390" s="237"/>
      <c r="H390" s="237"/>
      <c r="I390" s="311">
        <f t="shared" si="66"/>
        <v>0</v>
      </c>
      <c r="J390" s="1107"/>
      <c r="K390" s="1222"/>
      <c r="L390" s="366"/>
      <c r="O390" s="238">
        <f t="shared" si="67"/>
        <v>0</v>
      </c>
      <c r="P390" s="238">
        <f t="shared" si="67"/>
        <v>0</v>
      </c>
      <c r="Q390" s="238">
        <f t="shared" si="67"/>
        <v>0</v>
      </c>
      <c r="R390" s="238">
        <f t="shared" si="67"/>
        <v>0</v>
      </c>
    </row>
    <row r="391" spans="2:18" ht="19.5" customHeight="1">
      <c r="B391" s="231">
        <v>303</v>
      </c>
      <c r="C391" s="268"/>
      <c r="D391" s="981" t="s">
        <v>754</v>
      </c>
      <c r="E391" s="1675">
        <v>901046</v>
      </c>
      <c r="F391" s="237"/>
      <c r="G391" s="237"/>
      <c r="H391" s="237"/>
      <c r="I391" s="311">
        <f t="shared" si="66"/>
        <v>0</v>
      </c>
      <c r="J391" s="1107"/>
      <c r="K391" s="1222"/>
      <c r="L391" s="366"/>
      <c r="O391" s="238">
        <f t="shared" si="67"/>
        <v>0</v>
      </c>
      <c r="P391" s="238">
        <f t="shared" si="67"/>
        <v>0</v>
      </c>
      <c r="Q391" s="238">
        <f t="shared" si="67"/>
        <v>0</v>
      </c>
      <c r="R391" s="238">
        <f t="shared" si="67"/>
        <v>0</v>
      </c>
    </row>
    <row r="392" spans="2:18" ht="19.5" customHeight="1">
      <c r="B392" s="231">
        <v>304</v>
      </c>
      <c r="C392" s="268"/>
      <c r="D392" s="981" t="s">
        <v>754</v>
      </c>
      <c r="E392" s="1675">
        <v>904037</v>
      </c>
      <c r="F392" s="237"/>
      <c r="G392" s="237"/>
      <c r="H392" s="237"/>
      <c r="I392" s="311">
        <f t="shared" si="66"/>
        <v>0</v>
      </c>
      <c r="J392" s="1107"/>
      <c r="K392" s="1222"/>
      <c r="L392" s="366"/>
      <c r="O392" s="238">
        <f aca="true" t="shared" si="68" ref="O392:O411">ROUND(F392,0)</f>
        <v>0</v>
      </c>
      <c r="P392" s="238">
        <f aca="true" t="shared" si="69" ref="P392:P411">ROUND(G392,0)</f>
        <v>0</v>
      </c>
      <c r="Q392" s="238">
        <f aca="true" t="shared" si="70" ref="Q392:Q411">ROUND(H392,0)</f>
        <v>0</v>
      </c>
      <c r="R392" s="238">
        <f aca="true" t="shared" si="71" ref="R392:R411">ROUND(I392,0)</f>
        <v>0</v>
      </c>
    </row>
    <row r="393" spans="2:18" ht="19.5" customHeight="1">
      <c r="B393" s="231">
        <v>305</v>
      </c>
      <c r="C393" s="268"/>
      <c r="D393" s="981" t="s">
        <v>754</v>
      </c>
      <c r="E393" s="1675">
        <v>904038</v>
      </c>
      <c r="F393" s="237"/>
      <c r="G393" s="237"/>
      <c r="H393" s="237"/>
      <c r="I393" s="311">
        <f t="shared" si="66"/>
        <v>0</v>
      </c>
      <c r="J393" s="1107"/>
      <c r="K393" s="1222"/>
      <c r="L393" s="366"/>
      <c r="O393" s="238">
        <f t="shared" si="68"/>
        <v>0</v>
      </c>
      <c r="P393" s="238">
        <f t="shared" si="69"/>
        <v>0</v>
      </c>
      <c r="Q393" s="238">
        <f t="shared" si="70"/>
        <v>0</v>
      </c>
      <c r="R393" s="238">
        <f t="shared" si="71"/>
        <v>0</v>
      </c>
    </row>
    <row r="394" spans="2:18" ht="19.5" customHeight="1">
      <c r="B394" s="231">
        <v>306</v>
      </c>
      <c r="C394" s="268"/>
      <c r="D394" s="981" t="s">
        <v>754</v>
      </c>
      <c r="E394" s="1675">
        <v>904039</v>
      </c>
      <c r="F394" s="237"/>
      <c r="G394" s="237"/>
      <c r="H394" s="237"/>
      <c r="I394" s="311">
        <f t="shared" si="66"/>
        <v>0</v>
      </c>
      <c r="J394" s="1107"/>
      <c r="K394" s="1222"/>
      <c r="L394" s="366"/>
      <c r="O394" s="238">
        <f t="shared" si="68"/>
        <v>0</v>
      </c>
      <c r="P394" s="238">
        <f t="shared" si="69"/>
        <v>0</v>
      </c>
      <c r="Q394" s="238">
        <f t="shared" si="70"/>
        <v>0</v>
      </c>
      <c r="R394" s="238">
        <f t="shared" si="71"/>
        <v>0</v>
      </c>
    </row>
    <row r="395" spans="2:18" ht="19.5" customHeight="1">
      <c r="B395" s="231">
        <v>307</v>
      </c>
      <c r="C395" s="268"/>
      <c r="D395" s="981" t="s">
        <v>754</v>
      </c>
      <c r="E395" s="1675">
        <v>904040</v>
      </c>
      <c r="F395" s="237"/>
      <c r="G395" s="237"/>
      <c r="H395" s="237"/>
      <c r="I395" s="311">
        <f t="shared" si="66"/>
        <v>0</v>
      </c>
      <c r="J395" s="1107"/>
      <c r="K395" s="1222"/>
      <c r="L395" s="366"/>
      <c r="O395" s="238">
        <f t="shared" si="68"/>
        <v>0</v>
      </c>
      <c r="P395" s="238">
        <f t="shared" si="69"/>
        <v>0</v>
      </c>
      <c r="Q395" s="238">
        <f t="shared" si="70"/>
        <v>0</v>
      </c>
      <c r="R395" s="238">
        <f t="shared" si="71"/>
        <v>0</v>
      </c>
    </row>
    <row r="396" spans="2:18" ht="19.5" customHeight="1">
      <c r="B396" s="231">
        <v>308</v>
      </c>
      <c r="C396" s="268"/>
      <c r="D396" s="981" t="s">
        <v>754</v>
      </c>
      <c r="E396" s="1675">
        <v>904041</v>
      </c>
      <c r="F396" s="237"/>
      <c r="G396" s="237"/>
      <c r="H396" s="237"/>
      <c r="I396" s="311">
        <f t="shared" si="66"/>
        <v>0</v>
      </c>
      <c r="J396" s="1107"/>
      <c r="K396" s="1222"/>
      <c r="L396" s="366"/>
      <c r="O396" s="238">
        <f t="shared" si="68"/>
        <v>0</v>
      </c>
      <c r="P396" s="238">
        <f t="shared" si="69"/>
        <v>0</v>
      </c>
      <c r="Q396" s="238">
        <f t="shared" si="70"/>
        <v>0</v>
      </c>
      <c r="R396" s="238">
        <f t="shared" si="71"/>
        <v>0</v>
      </c>
    </row>
    <row r="397" spans="2:18" ht="19.5" customHeight="1">
      <c r="B397" s="231">
        <v>309</v>
      </c>
      <c r="C397" s="268"/>
      <c r="D397" s="981" t="s">
        <v>754</v>
      </c>
      <c r="E397" s="1675">
        <v>904042</v>
      </c>
      <c r="F397" s="237"/>
      <c r="G397" s="237"/>
      <c r="H397" s="237"/>
      <c r="I397" s="311">
        <f t="shared" si="66"/>
        <v>0</v>
      </c>
      <c r="J397" s="1107"/>
      <c r="K397" s="1222"/>
      <c r="L397" s="366"/>
      <c r="O397" s="238">
        <f t="shared" si="68"/>
        <v>0</v>
      </c>
      <c r="P397" s="238">
        <f t="shared" si="69"/>
        <v>0</v>
      </c>
      <c r="Q397" s="238">
        <f t="shared" si="70"/>
        <v>0</v>
      </c>
      <c r="R397" s="238">
        <f t="shared" si="71"/>
        <v>0</v>
      </c>
    </row>
    <row r="398" spans="2:18" ht="19.5" customHeight="1">
      <c r="B398" s="231">
        <v>310</v>
      </c>
      <c r="C398" s="268"/>
      <c r="D398" s="981" t="s">
        <v>754</v>
      </c>
      <c r="E398" s="1675">
        <v>904043</v>
      </c>
      <c r="F398" s="237"/>
      <c r="G398" s="237"/>
      <c r="H398" s="237"/>
      <c r="I398" s="311">
        <f t="shared" si="66"/>
        <v>0</v>
      </c>
      <c r="J398" s="1107"/>
      <c r="K398" s="1222"/>
      <c r="L398" s="366"/>
      <c r="O398" s="238">
        <f t="shared" si="68"/>
        <v>0</v>
      </c>
      <c r="P398" s="238">
        <f t="shared" si="69"/>
        <v>0</v>
      </c>
      <c r="Q398" s="238">
        <f t="shared" si="70"/>
        <v>0</v>
      </c>
      <c r="R398" s="238">
        <f t="shared" si="71"/>
        <v>0</v>
      </c>
    </row>
    <row r="399" spans="2:18" ht="19.5" customHeight="1">
      <c r="B399" s="231">
        <v>311</v>
      </c>
      <c r="C399" s="268"/>
      <c r="D399" s="981" t="s">
        <v>754</v>
      </c>
      <c r="E399" s="1675">
        <v>904044</v>
      </c>
      <c r="F399" s="237"/>
      <c r="G399" s="237"/>
      <c r="H399" s="237"/>
      <c r="I399" s="311">
        <f t="shared" si="66"/>
        <v>0</v>
      </c>
      <c r="J399" s="1107"/>
      <c r="K399" s="1222"/>
      <c r="L399" s="366"/>
      <c r="O399" s="238">
        <f t="shared" si="68"/>
        <v>0</v>
      </c>
      <c r="P399" s="238">
        <f t="shared" si="69"/>
        <v>0</v>
      </c>
      <c r="Q399" s="238">
        <f t="shared" si="70"/>
        <v>0</v>
      </c>
      <c r="R399" s="238">
        <f t="shared" si="71"/>
        <v>0</v>
      </c>
    </row>
    <row r="400" spans="2:18" ht="19.5" customHeight="1">
      <c r="B400" s="231">
        <v>312</v>
      </c>
      <c r="C400" s="268"/>
      <c r="D400" s="981" t="s">
        <v>754</v>
      </c>
      <c r="E400" s="1675">
        <v>904045</v>
      </c>
      <c r="F400" s="237"/>
      <c r="G400" s="237"/>
      <c r="H400" s="237"/>
      <c r="I400" s="311">
        <f t="shared" si="66"/>
        <v>0</v>
      </c>
      <c r="J400" s="1107"/>
      <c r="K400" s="1222"/>
      <c r="L400" s="366"/>
      <c r="O400" s="238">
        <f t="shared" si="68"/>
        <v>0</v>
      </c>
      <c r="P400" s="238">
        <f t="shared" si="69"/>
        <v>0</v>
      </c>
      <c r="Q400" s="238">
        <f t="shared" si="70"/>
        <v>0</v>
      </c>
      <c r="R400" s="238">
        <f t="shared" si="71"/>
        <v>0</v>
      </c>
    </row>
    <row r="401" spans="2:18" ht="19.5" customHeight="1">
      <c r="B401" s="231">
        <v>313</v>
      </c>
      <c r="C401" s="268"/>
      <c r="D401" s="981" t="s">
        <v>754</v>
      </c>
      <c r="E401" s="1675">
        <v>904046</v>
      </c>
      <c r="F401" s="237"/>
      <c r="G401" s="237"/>
      <c r="H401" s="237"/>
      <c r="I401" s="311">
        <f t="shared" si="66"/>
        <v>0</v>
      </c>
      <c r="J401" s="1107"/>
      <c r="K401" s="1222"/>
      <c r="L401" s="366"/>
      <c r="O401" s="238">
        <f t="shared" si="68"/>
        <v>0</v>
      </c>
      <c r="P401" s="238">
        <f t="shared" si="69"/>
        <v>0</v>
      </c>
      <c r="Q401" s="238">
        <f t="shared" si="70"/>
        <v>0</v>
      </c>
      <c r="R401" s="238">
        <f t="shared" si="71"/>
        <v>0</v>
      </c>
    </row>
    <row r="402" spans="2:18" ht="19.5" customHeight="1">
      <c r="B402" s="231">
        <v>314</v>
      </c>
      <c r="C402" s="268"/>
      <c r="D402" s="981" t="s">
        <v>754</v>
      </c>
      <c r="E402" s="1675">
        <v>904047</v>
      </c>
      <c r="F402" s="237"/>
      <c r="G402" s="237"/>
      <c r="H402" s="237"/>
      <c r="I402" s="311">
        <f t="shared" si="66"/>
        <v>0</v>
      </c>
      <c r="J402" s="1107"/>
      <c r="K402" s="1222"/>
      <c r="L402" s="366"/>
      <c r="O402" s="238">
        <f t="shared" si="68"/>
        <v>0</v>
      </c>
      <c r="P402" s="238">
        <f t="shared" si="69"/>
        <v>0</v>
      </c>
      <c r="Q402" s="238">
        <f t="shared" si="70"/>
        <v>0</v>
      </c>
      <c r="R402" s="238">
        <f t="shared" si="71"/>
        <v>0</v>
      </c>
    </row>
    <row r="403" spans="2:18" ht="19.5" customHeight="1">
      <c r="B403" s="231">
        <v>315</v>
      </c>
      <c r="C403" s="268"/>
      <c r="D403" s="981" t="s">
        <v>754</v>
      </c>
      <c r="E403" s="1675">
        <v>904048</v>
      </c>
      <c r="F403" s="237"/>
      <c r="G403" s="237"/>
      <c r="H403" s="237"/>
      <c r="I403" s="311">
        <f t="shared" si="66"/>
        <v>0</v>
      </c>
      <c r="J403" s="1107"/>
      <c r="K403" s="1222"/>
      <c r="L403" s="366"/>
      <c r="O403" s="238">
        <f t="shared" si="68"/>
        <v>0</v>
      </c>
      <c r="P403" s="238">
        <f t="shared" si="69"/>
        <v>0</v>
      </c>
      <c r="Q403" s="238">
        <f t="shared" si="70"/>
        <v>0</v>
      </c>
      <c r="R403" s="238">
        <f t="shared" si="71"/>
        <v>0</v>
      </c>
    </row>
    <row r="404" spans="2:18" ht="19.5" customHeight="1">
      <c r="B404" s="231">
        <v>316</v>
      </c>
      <c r="C404" s="268"/>
      <c r="D404" s="981" t="s">
        <v>754</v>
      </c>
      <c r="E404" s="1675">
        <v>904049</v>
      </c>
      <c r="F404" s="237"/>
      <c r="G404" s="237"/>
      <c r="H404" s="237"/>
      <c r="I404" s="311">
        <f t="shared" si="66"/>
        <v>0</v>
      </c>
      <c r="J404" s="1107"/>
      <c r="K404" s="1222"/>
      <c r="L404" s="366"/>
      <c r="O404" s="238">
        <f t="shared" si="68"/>
        <v>0</v>
      </c>
      <c r="P404" s="238">
        <f t="shared" si="69"/>
        <v>0</v>
      </c>
      <c r="Q404" s="238">
        <f t="shared" si="70"/>
        <v>0</v>
      </c>
      <c r="R404" s="238">
        <f t="shared" si="71"/>
        <v>0</v>
      </c>
    </row>
    <row r="405" spans="2:18" ht="19.5" customHeight="1">
      <c r="B405" s="231">
        <v>317</v>
      </c>
      <c r="C405" s="268"/>
      <c r="D405" s="981" t="s">
        <v>754</v>
      </c>
      <c r="E405" s="1675">
        <v>904050</v>
      </c>
      <c r="F405" s="237"/>
      <c r="G405" s="237"/>
      <c r="H405" s="237"/>
      <c r="I405" s="311">
        <f t="shared" si="66"/>
        <v>0</v>
      </c>
      <c r="J405" s="1107"/>
      <c r="K405" s="1222"/>
      <c r="L405" s="366"/>
      <c r="O405" s="238">
        <f t="shared" si="68"/>
        <v>0</v>
      </c>
      <c r="P405" s="238">
        <f t="shared" si="69"/>
        <v>0</v>
      </c>
      <c r="Q405" s="238">
        <f t="shared" si="70"/>
        <v>0</v>
      </c>
      <c r="R405" s="238">
        <f t="shared" si="71"/>
        <v>0</v>
      </c>
    </row>
    <row r="406" spans="2:18" ht="19.5" customHeight="1">
      <c r="B406" s="231">
        <v>318</v>
      </c>
      <c r="C406" s="268"/>
      <c r="D406" s="981" t="s">
        <v>754</v>
      </c>
      <c r="E406" s="1675">
        <v>904051</v>
      </c>
      <c r="F406" s="237"/>
      <c r="G406" s="237"/>
      <c r="H406" s="237"/>
      <c r="I406" s="311">
        <f t="shared" si="66"/>
        <v>0</v>
      </c>
      <c r="J406" s="1107"/>
      <c r="K406" s="1222"/>
      <c r="L406" s="366"/>
      <c r="O406" s="238">
        <f t="shared" si="68"/>
        <v>0</v>
      </c>
      <c r="P406" s="238">
        <f t="shared" si="69"/>
        <v>0</v>
      </c>
      <c r="Q406" s="238">
        <f t="shared" si="70"/>
        <v>0</v>
      </c>
      <c r="R406" s="238">
        <f t="shared" si="71"/>
        <v>0</v>
      </c>
    </row>
    <row r="407" spans="2:18" ht="19.5" customHeight="1">
      <c r="B407" s="231">
        <v>319</v>
      </c>
      <c r="C407" s="268"/>
      <c r="D407" s="981" t="s">
        <v>754</v>
      </c>
      <c r="E407" s="1675">
        <v>904052</v>
      </c>
      <c r="F407" s="237"/>
      <c r="G407" s="237"/>
      <c r="H407" s="237"/>
      <c r="I407" s="311">
        <f t="shared" si="66"/>
        <v>0</v>
      </c>
      <c r="J407" s="1107"/>
      <c r="K407" s="1222"/>
      <c r="L407" s="366"/>
      <c r="O407" s="238">
        <f t="shared" si="68"/>
        <v>0</v>
      </c>
      <c r="P407" s="238">
        <f t="shared" si="69"/>
        <v>0</v>
      </c>
      <c r="Q407" s="238">
        <f t="shared" si="70"/>
        <v>0</v>
      </c>
      <c r="R407" s="238">
        <f t="shared" si="71"/>
        <v>0</v>
      </c>
    </row>
    <row r="408" spans="2:18" ht="19.5" customHeight="1">
      <c r="B408" s="231">
        <v>320</v>
      </c>
      <c r="C408" s="268"/>
      <c r="D408" s="981" t="s">
        <v>754</v>
      </c>
      <c r="E408" s="1675">
        <v>904053</v>
      </c>
      <c r="F408" s="237"/>
      <c r="G408" s="237"/>
      <c r="H408" s="237"/>
      <c r="I408" s="311">
        <f t="shared" si="66"/>
        <v>0</v>
      </c>
      <c r="J408" s="1107"/>
      <c r="K408" s="1222"/>
      <c r="L408" s="366"/>
      <c r="O408" s="238">
        <f t="shared" si="68"/>
        <v>0</v>
      </c>
      <c r="P408" s="238">
        <f t="shared" si="69"/>
        <v>0</v>
      </c>
      <c r="Q408" s="238">
        <f t="shared" si="70"/>
        <v>0</v>
      </c>
      <c r="R408" s="238">
        <f t="shared" si="71"/>
        <v>0</v>
      </c>
    </row>
    <row r="409" spans="2:18" ht="19.5" customHeight="1">
      <c r="B409" s="231">
        <v>321</v>
      </c>
      <c r="C409" s="268"/>
      <c r="D409" s="981" t="s">
        <v>754</v>
      </c>
      <c r="E409" s="1675">
        <v>904054</v>
      </c>
      <c r="F409" s="237"/>
      <c r="G409" s="237"/>
      <c r="H409" s="237"/>
      <c r="I409" s="311">
        <f t="shared" si="66"/>
        <v>0</v>
      </c>
      <c r="J409" s="1107"/>
      <c r="K409" s="1222"/>
      <c r="L409" s="366"/>
      <c r="O409" s="238">
        <f t="shared" si="68"/>
        <v>0</v>
      </c>
      <c r="P409" s="238">
        <f t="shared" si="69"/>
        <v>0</v>
      </c>
      <c r="Q409" s="238">
        <f t="shared" si="70"/>
        <v>0</v>
      </c>
      <c r="R409" s="238">
        <f t="shared" si="71"/>
        <v>0</v>
      </c>
    </row>
    <row r="410" spans="2:18" ht="19.5" customHeight="1">
      <c r="B410" s="231">
        <v>322</v>
      </c>
      <c r="C410" s="268"/>
      <c r="D410" s="981" t="s">
        <v>754</v>
      </c>
      <c r="E410" s="1675">
        <v>904055</v>
      </c>
      <c r="F410" s="237"/>
      <c r="G410" s="237"/>
      <c r="H410" s="237"/>
      <c r="I410" s="311">
        <f t="shared" si="66"/>
        <v>0</v>
      </c>
      <c r="J410" s="1107"/>
      <c r="K410" s="1222"/>
      <c r="L410" s="366"/>
      <c r="O410" s="238">
        <f t="shared" si="68"/>
        <v>0</v>
      </c>
      <c r="P410" s="238">
        <f t="shared" si="69"/>
        <v>0</v>
      </c>
      <c r="Q410" s="238">
        <f t="shared" si="70"/>
        <v>0</v>
      </c>
      <c r="R410" s="238">
        <f t="shared" si="71"/>
        <v>0</v>
      </c>
    </row>
    <row r="411" spans="2:18" ht="19.5" customHeight="1">
      <c r="B411" s="231">
        <v>323</v>
      </c>
      <c r="C411" s="268"/>
      <c r="D411" s="981" t="s">
        <v>754</v>
      </c>
      <c r="E411" s="1675">
        <v>904056</v>
      </c>
      <c r="F411" s="237"/>
      <c r="G411" s="237"/>
      <c r="H411" s="237"/>
      <c r="I411" s="311">
        <f t="shared" si="66"/>
        <v>0</v>
      </c>
      <c r="J411" s="1107"/>
      <c r="K411" s="1222"/>
      <c r="L411" s="366"/>
      <c r="O411" s="238">
        <f t="shared" si="68"/>
        <v>0</v>
      </c>
      <c r="P411" s="238">
        <f t="shared" si="69"/>
        <v>0</v>
      </c>
      <c r="Q411" s="238">
        <f t="shared" si="70"/>
        <v>0</v>
      </c>
      <c r="R411" s="238">
        <f t="shared" si="71"/>
        <v>0</v>
      </c>
    </row>
    <row r="412" spans="2:18" ht="19.5" customHeight="1" thickBot="1">
      <c r="B412" s="231">
        <v>324</v>
      </c>
      <c r="C412" s="1328"/>
      <c r="D412" s="912" t="s">
        <v>755</v>
      </c>
      <c r="E412" s="1676">
        <v>7231</v>
      </c>
      <c r="F412" s="378">
        <f aca="true" t="shared" si="72" ref="F412:I413">O412</f>
        <v>0</v>
      </c>
      <c r="G412" s="378">
        <f t="shared" si="72"/>
        <v>0</v>
      </c>
      <c r="H412" s="378">
        <f t="shared" si="72"/>
        <v>0</v>
      </c>
      <c r="I412" s="379">
        <f>R412</f>
        <v>0</v>
      </c>
      <c r="J412" s="1107"/>
      <c r="K412" s="1222"/>
      <c r="L412" s="366"/>
      <c r="O412" s="380">
        <f>ROUND(SUM(O367:O411),0)</f>
        <v>0</v>
      </c>
      <c r="P412" s="380">
        <f>ROUND(SUM(P367:P411),0)</f>
        <v>0</v>
      </c>
      <c r="Q412" s="380">
        <f>ROUND(SUM(Q367:Q411),0)</f>
        <v>0</v>
      </c>
      <c r="R412" s="380">
        <f>ROUND(SUM(R367:R411),0)</f>
        <v>0</v>
      </c>
    </row>
    <row r="413" spans="2:18" ht="18" customHeight="1" thickBot="1">
      <c r="B413" s="231">
        <v>325</v>
      </c>
      <c r="C413" s="1580" t="s">
        <v>702</v>
      </c>
      <c r="D413" s="283"/>
      <c r="E413" s="1676">
        <v>6500</v>
      </c>
      <c r="F413" s="315">
        <f t="shared" si="72"/>
        <v>0</v>
      </c>
      <c r="G413" s="315">
        <f t="shared" si="72"/>
        <v>0</v>
      </c>
      <c r="H413" s="315">
        <f t="shared" si="72"/>
        <v>0</v>
      </c>
      <c r="I413" s="909">
        <f t="shared" si="72"/>
        <v>0</v>
      </c>
      <c r="J413" s="1581"/>
      <c r="K413" s="1224"/>
      <c r="L413" s="366"/>
      <c r="O413" s="251">
        <f>ROUND(SUM(O357+O358+O359+O360+O361+O362+O363+O364+O365+O412),0)</f>
        <v>0</v>
      </c>
      <c r="P413" s="251">
        <f>ROUND(SUM(P357+P358+P359+P360+P361+P362+P363+P364+P365+P412),0)</f>
        <v>0</v>
      </c>
      <c r="Q413" s="251">
        <f>ROUND(SUM(Q357+Q358+Q359+Q360+Q361+Q362+Q363+Q364+Q365+Q412),0)</f>
        <v>0</v>
      </c>
      <c r="R413" s="251">
        <f>ROUND(SUM(R357+R358+R359+R360+R361+R362+R363+R364+R365+R412),0)</f>
        <v>0</v>
      </c>
    </row>
    <row r="414" spans="2:18" s="252" customFormat="1" ht="18" customHeight="1">
      <c r="B414" s="356"/>
      <c r="C414" s="1549"/>
      <c r="D414" s="208"/>
      <c r="E414" s="1557"/>
      <c r="F414" s="360"/>
      <c r="G414" s="360"/>
      <c r="H414" s="360"/>
      <c r="I414" s="360"/>
      <c r="J414" s="1582"/>
      <c r="K414" s="1534"/>
      <c r="L414" s="285"/>
      <c r="O414" s="253"/>
      <c r="P414" s="253"/>
      <c r="Q414" s="253"/>
      <c r="R414" s="253"/>
    </row>
    <row r="415" spans="3:12" ht="19.5" customHeight="1">
      <c r="C415" s="206" t="s">
        <v>265</v>
      </c>
      <c r="D415" s="922">
        <f>+$D$1</f>
        <v>0</v>
      </c>
      <c r="L415" s="285"/>
    </row>
    <row r="416" spans="3:5" ht="19.5" customHeight="1">
      <c r="C416" s="206" t="s">
        <v>266</v>
      </c>
      <c r="D416" s="207">
        <f>+$D$2</f>
        <v>0</v>
      </c>
      <c r="E416" s="205" t="str">
        <f>Schedule_A!A3</f>
        <v>NURSING FACILITY 2019 COST REPORT</v>
      </c>
    </row>
    <row r="417" spans="3:5" ht="15.75" customHeight="1">
      <c r="C417" s="206"/>
      <c r="D417" s="210"/>
      <c r="E417" s="208"/>
    </row>
    <row r="418" spans="1:12" ht="18">
      <c r="A418" s="211" t="s">
        <v>198</v>
      </c>
      <c r="B418" s="212"/>
      <c r="C418" s="212"/>
      <c r="D418" s="212"/>
      <c r="E418" s="212"/>
      <c r="F418" s="212"/>
      <c r="G418" s="212"/>
      <c r="H418" s="212"/>
      <c r="I418" s="212"/>
      <c r="J418" s="401"/>
      <c r="L418" s="212"/>
    </row>
    <row r="419" spans="1:18" s="1592" customFormat="1" ht="24" thickBot="1">
      <c r="A419" s="1548" t="s">
        <v>409</v>
      </c>
      <c r="B419" s="1548"/>
      <c r="C419" s="1548"/>
      <c r="D419" s="1548"/>
      <c r="E419" s="1548"/>
      <c r="F419" s="1548"/>
      <c r="G419" s="1548"/>
      <c r="H419" s="1548"/>
      <c r="I419" s="1548"/>
      <c r="J419" s="1589"/>
      <c r="K419" s="1590"/>
      <c r="L419" s="1548"/>
      <c r="O419" s="1593"/>
      <c r="P419" s="1593"/>
      <c r="Q419" s="1593"/>
      <c r="R419" s="1593"/>
    </row>
    <row r="420" spans="1:12" ht="66" customHeight="1">
      <c r="A420" s="213"/>
      <c r="B420" s="256" t="s">
        <v>200</v>
      </c>
      <c r="C420" s="215"/>
      <c r="D420" s="216"/>
      <c r="E420" s="217" t="s">
        <v>464</v>
      </c>
      <c r="F420" s="217" t="s">
        <v>193</v>
      </c>
      <c r="G420" s="218" t="s">
        <v>468</v>
      </c>
      <c r="H420" s="219"/>
      <c r="I420" s="257" t="s">
        <v>201</v>
      </c>
      <c r="J420" s="1092"/>
      <c r="K420" s="1085" t="s">
        <v>202</v>
      </c>
      <c r="L420" s="258"/>
    </row>
    <row r="421" spans="1:12" ht="15.75">
      <c r="A421" s="213"/>
      <c r="B421" s="221" t="s">
        <v>203</v>
      </c>
      <c r="C421" s="222" t="s">
        <v>464</v>
      </c>
      <c r="D421" s="223"/>
      <c r="E421" s="224" t="s">
        <v>204</v>
      </c>
      <c r="F421" s="224" t="s">
        <v>205</v>
      </c>
      <c r="G421" s="224" t="s">
        <v>471</v>
      </c>
      <c r="H421" s="224" t="s">
        <v>472</v>
      </c>
      <c r="I421" s="260" t="s">
        <v>193</v>
      </c>
      <c r="J421" s="1093" t="s">
        <v>144</v>
      </c>
      <c r="K421" s="260"/>
      <c r="L421" s="261"/>
    </row>
    <row r="422" spans="1:12" ht="15.75">
      <c r="A422" s="213"/>
      <c r="B422" s="226"/>
      <c r="C422" s="227"/>
      <c r="D422" s="228"/>
      <c r="E422" s="229" t="s">
        <v>473</v>
      </c>
      <c r="F422" s="229" t="s">
        <v>474</v>
      </c>
      <c r="G422" s="229" t="s">
        <v>475</v>
      </c>
      <c r="H422" s="229" t="s">
        <v>476</v>
      </c>
      <c r="I422" s="262" t="s">
        <v>477</v>
      </c>
      <c r="J422" s="1094" t="s">
        <v>478</v>
      </c>
      <c r="K422" s="262" t="s">
        <v>479</v>
      </c>
      <c r="L422" s="263"/>
    </row>
    <row r="423" spans="2:18" ht="19.5" customHeight="1">
      <c r="B423" s="231">
        <v>326</v>
      </c>
      <c r="C423" s="320" t="s">
        <v>410</v>
      </c>
      <c r="D423" s="265"/>
      <c r="E423" s="300">
        <v>6610</v>
      </c>
      <c r="F423" s="381"/>
      <c r="G423" s="381"/>
      <c r="H423" s="381"/>
      <c r="I423" s="352">
        <f>+F423+G423-H423</f>
        <v>0</v>
      </c>
      <c r="J423" s="1096"/>
      <c r="K423" s="1222"/>
      <c r="L423" s="289"/>
      <c r="O423" s="238">
        <f aca="true" t="shared" si="73" ref="O423:R427">ROUND(F423,0)</f>
        <v>0</v>
      </c>
      <c r="P423" s="238">
        <f t="shared" si="73"/>
        <v>0</v>
      </c>
      <c r="Q423" s="238">
        <f t="shared" si="73"/>
        <v>0</v>
      </c>
      <c r="R423" s="238">
        <f t="shared" si="73"/>
        <v>0</v>
      </c>
    </row>
    <row r="424" spans="2:18" ht="19.5" customHeight="1">
      <c r="B424" s="231">
        <v>327</v>
      </c>
      <c r="C424" s="265" t="s">
        <v>411</v>
      </c>
      <c r="D424" s="265"/>
      <c r="E424" s="236">
        <v>6620</v>
      </c>
      <c r="F424" s="269"/>
      <c r="G424" s="269"/>
      <c r="H424" s="269"/>
      <c r="I424" s="352">
        <f>+F424+G424-H424</f>
        <v>0</v>
      </c>
      <c r="J424" s="1095"/>
      <c r="K424" s="1222"/>
      <c r="L424" s="267"/>
      <c r="O424" s="238">
        <f t="shared" si="73"/>
        <v>0</v>
      </c>
      <c r="P424" s="238">
        <f t="shared" si="73"/>
        <v>0</v>
      </c>
      <c r="Q424" s="238">
        <f t="shared" si="73"/>
        <v>0</v>
      </c>
      <c r="R424" s="238">
        <f t="shared" si="73"/>
        <v>0</v>
      </c>
    </row>
    <row r="425" spans="2:18" ht="19.5" customHeight="1">
      <c r="B425" s="231">
        <v>328</v>
      </c>
      <c r="C425" s="346" t="s">
        <v>412</v>
      </c>
      <c r="D425" s="293" t="s">
        <v>413</v>
      </c>
      <c r="E425" s="236">
        <v>6630</v>
      </c>
      <c r="F425" s="269"/>
      <c r="G425" s="269"/>
      <c r="H425" s="269"/>
      <c r="I425" s="352">
        <f>+F425+G425-H425</f>
        <v>0</v>
      </c>
      <c r="J425" s="1095"/>
      <c r="K425" s="1222"/>
      <c r="L425" s="267"/>
      <c r="O425" s="238">
        <f t="shared" si="73"/>
        <v>0</v>
      </c>
      <c r="P425" s="238">
        <f t="shared" si="73"/>
        <v>0</v>
      </c>
      <c r="Q425" s="238">
        <f t="shared" si="73"/>
        <v>0</v>
      </c>
      <c r="R425" s="238">
        <f t="shared" si="73"/>
        <v>0</v>
      </c>
    </row>
    <row r="426" spans="2:18" ht="19.5" customHeight="1">
      <c r="B426" s="231">
        <v>329</v>
      </c>
      <c r="C426" s="363"/>
      <c r="D426" s="382"/>
      <c r="E426" s="236"/>
      <c r="F426" s="269"/>
      <c r="G426" s="269"/>
      <c r="H426" s="269"/>
      <c r="I426" s="352">
        <f>+F426+G426-H426</f>
        <v>0</v>
      </c>
      <c r="J426" s="1095"/>
      <c r="K426" s="1222"/>
      <c r="L426" s="267"/>
      <c r="O426" s="238">
        <f t="shared" si="73"/>
        <v>0</v>
      </c>
      <c r="P426" s="238">
        <f t="shared" si="73"/>
        <v>0</v>
      </c>
      <c r="Q426" s="238">
        <f t="shared" si="73"/>
        <v>0</v>
      </c>
      <c r="R426" s="238">
        <f t="shared" si="73"/>
        <v>0</v>
      </c>
    </row>
    <row r="427" spans="2:18" ht="19.5" customHeight="1">
      <c r="B427" s="231">
        <v>330</v>
      </c>
      <c r="C427" s="364"/>
      <c r="D427" s="383"/>
      <c r="E427" s="373"/>
      <c r="F427" s="384"/>
      <c r="G427" s="384"/>
      <c r="H427" s="384"/>
      <c r="I427" s="352">
        <f>+F427+G427-H427</f>
        <v>0</v>
      </c>
      <c r="J427" s="1095"/>
      <c r="K427" s="1222"/>
      <c r="L427" s="267"/>
      <c r="O427" s="238">
        <f t="shared" si="73"/>
        <v>0</v>
      </c>
      <c r="P427" s="238">
        <f t="shared" si="73"/>
        <v>0</v>
      </c>
      <c r="Q427" s="238">
        <f t="shared" si="73"/>
        <v>0</v>
      </c>
      <c r="R427" s="238">
        <f t="shared" si="73"/>
        <v>0</v>
      </c>
    </row>
    <row r="428" spans="2:18" s="252" customFormat="1" ht="18" customHeight="1">
      <c r="B428" s="231">
        <v>331</v>
      </c>
      <c r="C428" s="385" t="s">
        <v>414</v>
      </c>
      <c r="D428" s="205"/>
      <c r="E428" s="386">
        <v>6600</v>
      </c>
      <c r="F428" s="387">
        <f>O428</f>
        <v>0</v>
      </c>
      <c r="G428" s="387">
        <f>P428</f>
        <v>0</v>
      </c>
      <c r="H428" s="387">
        <f>Q428</f>
        <v>0</v>
      </c>
      <c r="I428" s="388">
        <f>R428</f>
        <v>0</v>
      </c>
      <c r="J428" s="1109"/>
      <c r="K428" s="1228"/>
      <c r="L428" s="289"/>
      <c r="O428" s="389">
        <f>ROUND(SUM(O423+O424+O425+O426+O427),0)</f>
        <v>0</v>
      </c>
      <c r="P428" s="389">
        <f>ROUND(SUM(P423+P424+P425+P426+P427),0)</f>
        <v>0</v>
      </c>
      <c r="Q428" s="389">
        <f>ROUND(SUM(Q423+Q424+Q425+Q426+Q427),0)</f>
        <v>0</v>
      </c>
      <c r="R428" s="389">
        <f>ROUND(SUM(R423+R424+R425+R426+R427),0)</f>
        <v>0</v>
      </c>
    </row>
    <row r="429" spans="2:18" s="252" customFormat="1" ht="13.5" customHeight="1" thickBot="1">
      <c r="B429" s="1657"/>
      <c r="C429" s="1658" t="s">
        <v>415</v>
      </c>
      <c r="D429" s="1659"/>
      <c r="E429" s="1660"/>
      <c r="F429" s="1661"/>
      <c r="G429" s="1661"/>
      <c r="H429" s="1661"/>
      <c r="I429" s="1661"/>
      <c r="J429" s="1097"/>
      <c r="K429" s="1226"/>
      <c r="L429" s="289"/>
      <c r="O429" s="253"/>
      <c r="P429" s="253"/>
      <c r="Q429" s="253"/>
      <c r="R429" s="253"/>
    </row>
    <row r="430" ht="9.75" customHeight="1" thickBot="1">
      <c r="L430" s="285"/>
    </row>
    <row r="431" spans="2:19" ht="18" customHeight="1" thickBot="1">
      <c r="B431" s="1561">
        <v>332</v>
      </c>
      <c r="C431" s="1586" t="s">
        <v>416</v>
      </c>
      <c r="D431" s="349"/>
      <c r="E431" s="1563"/>
      <c r="F431" s="1583">
        <f>F265+F345+F413+F428</f>
        <v>0</v>
      </c>
      <c r="G431" s="1583">
        <f>G265+G345+G413+G428</f>
        <v>0</v>
      </c>
      <c r="H431" s="1583">
        <f>H265+H345+H413+H428</f>
        <v>0</v>
      </c>
      <c r="I431" s="1583">
        <f>I265+I345+I413+I428</f>
        <v>0</v>
      </c>
      <c r="J431" s="1583">
        <f>_C000904+_C001584</f>
        <v>0</v>
      </c>
      <c r="K431" s="1224"/>
      <c r="L431" s="289"/>
      <c r="O431" s="307">
        <f>ROUND(SUM(O265+O345+O413+O428),0)</f>
        <v>0</v>
      </c>
      <c r="P431" s="307">
        <f>ROUND(SUM(P265+P345+P413+P428),0)</f>
        <v>0</v>
      </c>
      <c r="Q431" s="307">
        <f>ROUND(SUM(Q265+Q345+Q413+Q428),0)</f>
        <v>0</v>
      </c>
      <c r="R431" s="307">
        <f>ROUND(SUM(R265+R345+R413+R428),0)</f>
        <v>0</v>
      </c>
      <c r="S431" s="361">
        <f>ROUND(SUM(S265+S345+S413+S428),0)</f>
        <v>0</v>
      </c>
    </row>
    <row r="432" ht="9.75" customHeight="1" thickBot="1">
      <c r="L432" s="285"/>
    </row>
    <row r="433" spans="2:18" ht="18" customHeight="1" thickBot="1">
      <c r="B433" s="1561">
        <v>333</v>
      </c>
      <c r="C433" s="1587" t="s">
        <v>417</v>
      </c>
      <c r="D433" s="349"/>
      <c r="E433" s="1563"/>
      <c r="F433" s="1583">
        <f>O433</f>
        <v>0</v>
      </c>
      <c r="G433" s="1583">
        <f>P433</f>
        <v>0</v>
      </c>
      <c r="H433" s="1583">
        <f>Q433</f>
        <v>0</v>
      </c>
      <c r="I433" s="1584">
        <f>R433</f>
        <v>0</v>
      </c>
      <c r="J433" s="1585"/>
      <c r="K433" s="1224"/>
      <c r="L433" s="289"/>
      <c r="O433" s="307">
        <f>ROUND(SUM(O51-O431),0)</f>
        <v>0</v>
      </c>
      <c r="P433" s="307">
        <f>ROUND(SUM(P51+P431),0)</f>
        <v>0</v>
      </c>
      <c r="Q433" s="307">
        <f>ROUND(SUM(Q51+Q431),0)</f>
        <v>0</v>
      </c>
      <c r="R433" s="307">
        <f>ROUND(SUM(R51-R431),0)</f>
        <v>0</v>
      </c>
    </row>
    <row r="434" spans="2:18" s="252" customFormat="1" ht="13.5" customHeight="1" thickBot="1">
      <c r="B434" s="356"/>
      <c r="C434" s="358"/>
      <c r="D434" s="358"/>
      <c r="E434" s="358"/>
      <c r="F434" s="357"/>
      <c r="G434" s="357"/>
      <c r="H434" s="357"/>
      <c r="I434" s="357"/>
      <c r="J434" s="358"/>
      <c r="K434" s="1534"/>
      <c r="L434" s="285"/>
      <c r="O434" s="253"/>
      <c r="P434" s="253"/>
      <c r="Q434" s="253"/>
      <c r="R434" s="253"/>
    </row>
    <row r="435" spans="2:18" s="252" customFormat="1" ht="18.75" thickBot="1">
      <c r="B435" s="1655">
        <v>334</v>
      </c>
      <c r="C435" s="1538"/>
      <c r="D435" s="1538"/>
      <c r="E435" s="1538"/>
      <c r="F435" s="1538"/>
      <c r="G435" s="1538"/>
      <c r="H435" s="1539" t="s">
        <v>187</v>
      </c>
      <c r="I435" s="1544"/>
      <c r="J435" s="1545"/>
      <c r="K435" s="1540"/>
      <c r="L435" s="285"/>
      <c r="O435" s="253"/>
      <c r="P435" s="253"/>
      <c r="Q435" s="253"/>
      <c r="R435" s="253"/>
    </row>
    <row r="436" spans="2:18" s="252" customFormat="1" ht="18.75" thickBot="1">
      <c r="B436" s="1656">
        <v>335</v>
      </c>
      <c r="C436" s="1541"/>
      <c r="D436" s="1541"/>
      <c r="E436" s="1541"/>
      <c r="F436" s="1541"/>
      <c r="G436" s="1541"/>
      <c r="H436" s="1542" t="s">
        <v>188</v>
      </c>
      <c r="I436" s="1546"/>
      <c r="J436" s="1547"/>
      <c r="K436" s="1543"/>
      <c r="L436" s="285"/>
      <c r="O436" s="253"/>
      <c r="P436" s="253"/>
      <c r="Q436" s="253"/>
      <c r="R436" s="253"/>
    </row>
    <row r="437" spans="2:18" s="252" customFormat="1" ht="16.5" thickBot="1">
      <c r="B437" s="1535"/>
      <c r="C437" s="304"/>
      <c r="D437" s="304"/>
      <c r="E437" s="304"/>
      <c r="F437" s="304"/>
      <c r="G437" s="304"/>
      <c r="H437" s="1536" t="s">
        <v>189</v>
      </c>
      <c r="I437" s="189"/>
      <c r="J437" s="318"/>
      <c r="K437" s="1537"/>
      <c r="L437" s="285"/>
      <c r="O437" s="253"/>
      <c r="P437" s="253"/>
      <c r="Q437" s="253"/>
      <c r="R437" s="253"/>
    </row>
    <row r="438" ht="15.75">
      <c r="L438" s="285"/>
    </row>
    <row r="439" spans="1:18" s="1592" customFormat="1" ht="23.25">
      <c r="A439" s="1548" t="s">
        <v>418</v>
      </c>
      <c r="B439" s="1603"/>
      <c r="C439" s="1603"/>
      <c r="D439" s="1603"/>
      <c r="E439" s="1603"/>
      <c r="F439" s="1603"/>
      <c r="G439" s="1603"/>
      <c r="H439" s="1603"/>
      <c r="I439" s="1603"/>
      <c r="J439" s="1604"/>
      <c r="K439" s="1605"/>
      <c r="L439" s="1603"/>
      <c r="O439" s="1593"/>
      <c r="P439" s="1593"/>
      <c r="Q439" s="1593"/>
      <c r="R439" s="1593"/>
    </row>
    <row r="440" spans="2:11" ht="19.5" customHeight="1">
      <c r="B440" s="1384" t="s">
        <v>420</v>
      </c>
      <c r="C440" s="335"/>
      <c r="D440" s="335"/>
      <c r="E440" s="335"/>
      <c r="F440" s="335"/>
      <c r="G440" s="335"/>
      <c r="H440" s="335"/>
      <c r="I440" s="335"/>
      <c r="J440" s="396"/>
      <c r="K440" s="1236"/>
    </row>
    <row r="441" spans="2:11" s="390" customFormat="1" ht="19.5" customHeight="1">
      <c r="B441" s="392"/>
      <c r="C441" s="363"/>
      <c r="D441" s="363"/>
      <c r="E441" s="363"/>
      <c r="F441" s="363"/>
      <c r="G441" s="363"/>
      <c r="H441" s="363"/>
      <c r="I441" s="363"/>
      <c r="J441" s="393"/>
      <c r="K441" s="1237"/>
    </row>
    <row r="442" spans="2:11" s="390" customFormat="1" ht="19.5" customHeight="1">
      <c r="B442" s="392"/>
      <c r="C442" s="363"/>
      <c r="D442" s="363"/>
      <c r="E442" s="363"/>
      <c r="F442" s="363"/>
      <c r="G442" s="363"/>
      <c r="H442" s="363"/>
      <c r="I442" s="363"/>
      <c r="J442" s="393"/>
      <c r="K442" s="1237"/>
    </row>
    <row r="443" spans="2:11" s="390" customFormat="1" ht="19.5" customHeight="1">
      <c r="B443" s="392"/>
      <c r="C443" s="363"/>
      <c r="D443" s="363"/>
      <c r="E443" s="363"/>
      <c r="F443" s="363"/>
      <c r="G443" s="363"/>
      <c r="H443" s="363"/>
      <c r="I443" s="363"/>
      <c r="J443" s="393"/>
      <c r="K443" s="1237"/>
    </row>
    <row r="444" spans="2:11" s="390" customFormat="1" ht="19.5" customHeight="1">
      <c r="B444" s="392"/>
      <c r="C444" s="363"/>
      <c r="D444" s="363"/>
      <c r="E444" s="363"/>
      <c r="F444" s="363"/>
      <c r="G444" s="363"/>
      <c r="H444" s="363"/>
      <c r="I444" s="363"/>
      <c r="J444" s="393"/>
      <c r="K444" s="1237"/>
    </row>
    <row r="445" spans="2:11" s="390" customFormat="1" ht="19.5" customHeight="1">
      <c r="B445" s="392"/>
      <c r="C445" s="363"/>
      <c r="D445" s="363"/>
      <c r="E445" s="363"/>
      <c r="F445" s="363"/>
      <c r="G445" s="363"/>
      <c r="H445" s="363"/>
      <c r="I445" s="363"/>
      <c r="J445" s="393"/>
      <c r="K445" s="1237"/>
    </row>
    <row r="446" spans="2:11" s="390" customFormat="1" ht="19.5" customHeight="1">
      <c r="B446" s="392"/>
      <c r="C446" s="363"/>
      <c r="D446" s="363"/>
      <c r="E446" s="363"/>
      <c r="F446" s="363"/>
      <c r="G446" s="363"/>
      <c r="H446" s="363"/>
      <c r="I446" s="363"/>
      <c r="J446" s="393"/>
      <c r="K446" s="1237"/>
    </row>
    <row r="447" spans="2:11" s="390" customFormat="1" ht="19.5" customHeight="1">
      <c r="B447" s="392"/>
      <c r="C447" s="363"/>
      <c r="D447" s="363"/>
      <c r="E447" s="363"/>
      <c r="F447" s="363"/>
      <c r="G447" s="363"/>
      <c r="H447" s="363"/>
      <c r="I447" s="363"/>
      <c r="J447" s="393"/>
      <c r="K447" s="1237"/>
    </row>
    <row r="448" spans="2:11" s="390" customFormat="1" ht="19.5" customHeight="1">
      <c r="B448" s="392"/>
      <c r="C448" s="363"/>
      <c r="D448" s="363"/>
      <c r="E448" s="363"/>
      <c r="F448" s="973"/>
      <c r="G448" s="363"/>
      <c r="H448" s="363"/>
      <c r="I448" s="363"/>
      <c r="J448" s="393"/>
      <c r="K448" s="1237"/>
    </row>
    <row r="449" spans="2:11" s="390" customFormat="1" ht="19.5" customHeight="1">
      <c r="B449" s="394"/>
      <c r="C449" s="363"/>
      <c r="D449" s="363"/>
      <c r="E449" s="362"/>
      <c r="F449" s="363"/>
      <c r="G449" s="362"/>
      <c r="H449" s="363"/>
      <c r="I449" s="362"/>
      <c r="J449" s="393"/>
      <c r="K449" s="1237"/>
    </row>
    <row r="450" spans="2:11" s="390" customFormat="1" ht="19.5" customHeight="1">
      <c r="B450" s="392"/>
      <c r="C450" s="363"/>
      <c r="D450" s="363"/>
      <c r="E450" s="363"/>
      <c r="F450" s="363"/>
      <c r="G450" s="363"/>
      <c r="H450" s="363"/>
      <c r="I450" s="363"/>
      <c r="J450" s="393"/>
      <c r="K450" s="1237"/>
    </row>
    <row r="451" spans="2:11" s="390" customFormat="1" ht="19.5" customHeight="1">
      <c r="B451" s="392"/>
      <c r="C451" s="363"/>
      <c r="D451" s="363"/>
      <c r="E451" s="363"/>
      <c r="F451" s="363"/>
      <c r="G451" s="363"/>
      <c r="H451" s="363"/>
      <c r="I451" s="363"/>
      <c r="J451" s="393"/>
      <c r="K451" s="1237"/>
    </row>
    <row r="452" spans="2:11" s="390" customFormat="1" ht="19.5" customHeight="1">
      <c r="B452" s="392"/>
      <c r="C452" s="363"/>
      <c r="D452" s="363"/>
      <c r="E452" s="363"/>
      <c r="F452" s="363"/>
      <c r="G452" s="363"/>
      <c r="H452" s="363"/>
      <c r="I452" s="363"/>
      <c r="J452" s="393"/>
      <c r="K452" s="1237"/>
    </row>
    <row r="453" spans="2:11" s="390" customFormat="1" ht="19.5" customHeight="1">
      <c r="B453" s="392"/>
      <c r="C453" s="363"/>
      <c r="D453" s="363"/>
      <c r="E453" s="363"/>
      <c r="F453" s="363"/>
      <c r="G453" s="363"/>
      <c r="H453" s="363"/>
      <c r="I453" s="363"/>
      <c r="J453" s="393"/>
      <c r="K453" s="1237"/>
    </row>
    <row r="454" spans="2:11" s="390" customFormat="1" ht="19.5" customHeight="1">
      <c r="B454" s="395"/>
      <c r="C454" s="364"/>
      <c r="D454" s="364"/>
      <c r="E454" s="364"/>
      <c r="F454" s="364"/>
      <c r="G454" s="364"/>
      <c r="H454" s="364"/>
      <c r="I454" s="364"/>
      <c r="J454" s="396"/>
      <c r="K454" s="1237"/>
    </row>
    <row r="455" spans="2:11" s="390" customFormat="1" ht="19.5" customHeight="1" thickBot="1">
      <c r="B455" s="974"/>
      <c r="C455" s="397"/>
      <c r="D455" s="397"/>
      <c r="E455" s="397"/>
      <c r="F455" s="397"/>
      <c r="G455" s="397"/>
      <c r="H455" s="397"/>
      <c r="I455" s="397"/>
      <c r="J455" s="398"/>
      <c r="K455" s="1237"/>
    </row>
    <row r="456" spans="2:11" s="390" customFormat="1" ht="19.5" customHeight="1">
      <c r="B456" s="1567"/>
      <c r="C456" s="365"/>
      <c r="D456" s="365"/>
      <c r="E456" s="365"/>
      <c r="F456" s="365"/>
      <c r="G456" s="365"/>
      <c r="H456" s="365"/>
      <c r="I456" s="365"/>
      <c r="J456" s="365"/>
      <c r="K456" s="1237"/>
    </row>
    <row r="457" spans="3:11" s="390" customFormat="1" ht="19.5" customHeight="1">
      <c r="C457" s="399" t="s">
        <v>265</v>
      </c>
      <c r="D457" s="1245">
        <f>$D$1</f>
        <v>0</v>
      </c>
      <c r="K457" s="1238"/>
    </row>
    <row r="458" spans="3:11" s="390" customFormat="1" ht="19.5" customHeight="1">
      <c r="C458" s="399" t="s">
        <v>266</v>
      </c>
      <c r="D458" s="391">
        <f>Schedule_A!I8</f>
        <v>0</v>
      </c>
      <c r="E458" s="390" t="str">
        <f>Schedule_A!A3</f>
        <v>NURSING FACILITY 2019 COST REPORT</v>
      </c>
      <c r="K458" s="1238"/>
    </row>
    <row r="459" spans="3:11" s="390" customFormat="1" ht="15.75" customHeight="1">
      <c r="C459" s="399"/>
      <c r="D459" s="400"/>
      <c r="K459" s="1238"/>
    </row>
    <row r="460" spans="1:12" s="1608" customFormat="1" ht="24" thickBot="1">
      <c r="A460" s="1589"/>
      <c r="B460" s="1606" t="s">
        <v>418</v>
      </c>
      <c r="C460" s="1606"/>
      <c r="D460" s="1606"/>
      <c r="E460" s="1606"/>
      <c r="F460" s="1606"/>
      <c r="G460" s="1606"/>
      <c r="H460" s="1606"/>
      <c r="I460" s="1606"/>
      <c r="J460" s="1606"/>
      <c r="K460" s="1607"/>
      <c r="L460" s="1606"/>
    </row>
    <row r="461" spans="2:11" s="390" customFormat="1" ht="19.5" customHeight="1">
      <c r="B461" s="402"/>
      <c r="C461" s="975"/>
      <c r="D461" s="975"/>
      <c r="E461" s="975"/>
      <c r="F461" s="975"/>
      <c r="G461" s="975"/>
      <c r="H461" s="975"/>
      <c r="I461" s="975"/>
      <c r="J461" s="976"/>
      <c r="K461" s="1238"/>
    </row>
    <row r="462" spans="2:11" s="390" customFormat="1" ht="19.5" customHeight="1">
      <c r="B462" s="977"/>
      <c r="C462" s="391"/>
      <c r="D462" s="391"/>
      <c r="E462" s="391"/>
      <c r="F462" s="391"/>
      <c r="G462" s="391"/>
      <c r="H462" s="391"/>
      <c r="I462" s="391"/>
      <c r="J462" s="978"/>
      <c r="K462" s="1238"/>
    </row>
    <row r="463" spans="2:11" s="390" customFormat="1" ht="19.5" customHeight="1">
      <c r="B463" s="977"/>
      <c r="C463" s="391"/>
      <c r="D463" s="391"/>
      <c r="E463" s="391"/>
      <c r="F463" s="391"/>
      <c r="G463" s="391"/>
      <c r="H463" s="391"/>
      <c r="I463" s="391"/>
      <c r="J463" s="978"/>
      <c r="K463" s="1238"/>
    </row>
    <row r="464" spans="2:11" s="390" customFormat="1" ht="19.5" customHeight="1">
      <c r="B464" s="977"/>
      <c r="C464" s="391"/>
      <c r="D464" s="391"/>
      <c r="E464" s="391"/>
      <c r="F464" s="391"/>
      <c r="G464" s="391"/>
      <c r="H464" s="391"/>
      <c r="I464" s="391"/>
      <c r="J464" s="978"/>
      <c r="K464" s="1238"/>
    </row>
    <row r="465" spans="2:11" s="390" customFormat="1" ht="19.5" customHeight="1">
      <c r="B465" s="977"/>
      <c r="C465" s="391"/>
      <c r="D465" s="391"/>
      <c r="E465" s="391"/>
      <c r="F465" s="391"/>
      <c r="G465" s="391"/>
      <c r="H465" s="391"/>
      <c r="I465" s="391"/>
      <c r="J465" s="978"/>
      <c r="K465" s="1238"/>
    </row>
    <row r="466" spans="2:11" s="390" customFormat="1" ht="19.5" customHeight="1">
      <c r="B466" s="977"/>
      <c r="C466" s="391"/>
      <c r="D466" s="391"/>
      <c r="E466" s="391"/>
      <c r="F466" s="391"/>
      <c r="G466" s="391"/>
      <c r="H466" s="391"/>
      <c r="I466" s="391"/>
      <c r="J466" s="978"/>
      <c r="K466" s="1238"/>
    </row>
    <row r="467" spans="2:11" s="390" customFormat="1" ht="19.5" customHeight="1">
      <c r="B467" s="977"/>
      <c r="C467" s="391"/>
      <c r="D467" s="391"/>
      <c r="E467" s="391"/>
      <c r="F467" s="391"/>
      <c r="G467" s="391"/>
      <c r="H467" s="391"/>
      <c r="I467" s="391"/>
      <c r="J467" s="978"/>
      <c r="K467" s="1238"/>
    </row>
    <row r="468" spans="2:11" s="390" customFormat="1" ht="19.5" customHeight="1">
      <c r="B468" s="977"/>
      <c r="C468" s="403"/>
      <c r="D468" s="391"/>
      <c r="E468" s="391"/>
      <c r="F468" s="391"/>
      <c r="G468" s="391"/>
      <c r="H468" s="391"/>
      <c r="I468" s="391"/>
      <c r="J468" s="978"/>
      <c r="K468" s="1238"/>
    </row>
    <row r="469" spans="2:11" s="390" customFormat="1" ht="19.5" customHeight="1">
      <c r="B469" s="977"/>
      <c r="C469" s="391"/>
      <c r="D469" s="391"/>
      <c r="E469" s="391"/>
      <c r="F469" s="1082"/>
      <c r="G469" s="391"/>
      <c r="H469" s="391"/>
      <c r="I469" s="391"/>
      <c r="J469" s="978"/>
      <c r="K469" s="1238"/>
    </row>
    <row r="470" spans="2:11" s="390" customFormat="1" ht="19.5" customHeight="1">
      <c r="B470" s="977"/>
      <c r="C470" s="391"/>
      <c r="D470" s="391"/>
      <c r="E470" s="391"/>
      <c r="F470" s="391"/>
      <c r="G470" s="391"/>
      <c r="H470" s="391"/>
      <c r="I470" s="391"/>
      <c r="J470" s="978"/>
      <c r="K470" s="1238"/>
    </row>
    <row r="471" spans="2:11" s="390" customFormat="1" ht="19.5" customHeight="1">
      <c r="B471" s="977"/>
      <c r="C471" s="391"/>
      <c r="D471" s="391"/>
      <c r="E471" s="391"/>
      <c r="F471" s="391"/>
      <c r="G471" s="391"/>
      <c r="H471" s="391"/>
      <c r="I471" s="391"/>
      <c r="J471" s="978"/>
      <c r="K471" s="1238"/>
    </row>
    <row r="472" spans="2:11" s="390" customFormat="1" ht="19.5" customHeight="1">
      <c r="B472" s="977"/>
      <c r="C472" s="391"/>
      <c r="D472" s="391"/>
      <c r="E472" s="391"/>
      <c r="F472" s="391"/>
      <c r="G472" s="391"/>
      <c r="H472" s="391"/>
      <c r="I472" s="391"/>
      <c r="J472" s="978"/>
      <c r="K472" s="1238"/>
    </row>
    <row r="473" spans="2:11" s="390" customFormat="1" ht="19.5" customHeight="1">
      <c r="B473" s="977"/>
      <c r="C473" s="391"/>
      <c r="D473" s="391"/>
      <c r="E473" s="391"/>
      <c r="F473" s="391"/>
      <c r="G473" s="391"/>
      <c r="H473" s="391"/>
      <c r="I473" s="391"/>
      <c r="J473" s="978"/>
      <c r="K473" s="1238"/>
    </row>
    <row r="474" spans="2:11" s="390" customFormat="1" ht="19.5" customHeight="1">
      <c r="B474" s="977"/>
      <c r="C474" s="403"/>
      <c r="D474" s="391"/>
      <c r="E474" s="391"/>
      <c r="F474" s="391"/>
      <c r="G474" s="391"/>
      <c r="H474" s="391"/>
      <c r="I474" s="391"/>
      <c r="J474" s="978"/>
      <c r="K474" s="1238"/>
    </row>
    <row r="475" spans="2:11" s="390" customFormat="1" ht="19.5" customHeight="1">
      <c r="B475" s="977"/>
      <c r="C475" s="403"/>
      <c r="D475" s="403"/>
      <c r="E475" s="391"/>
      <c r="F475" s="391"/>
      <c r="G475" s="391"/>
      <c r="H475" s="391"/>
      <c r="I475" s="391"/>
      <c r="J475" s="978"/>
      <c r="K475" s="1238"/>
    </row>
    <row r="476" spans="2:11" s="390" customFormat="1" ht="19.5" customHeight="1">
      <c r="B476" s="977"/>
      <c r="C476" s="391"/>
      <c r="D476" s="391"/>
      <c r="E476" s="391"/>
      <c r="F476" s="391"/>
      <c r="G476" s="391"/>
      <c r="H476" s="391"/>
      <c r="I476" s="391"/>
      <c r="J476" s="978"/>
      <c r="K476" s="1238"/>
    </row>
    <row r="477" spans="2:11" s="390" customFormat="1" ht="19.5" customHeight="1">
      <c r="B477" s="977"/>
      <c r="C477" s="391"/>
      <c r="D477" s="391"/>
      <c r="E477" s="391"/>
      <c r="F477" s="391"/>
      <c r="G477" s="391"/>
      <c r="H477" s="391"/>
      <c r="I477" s="391"/>
      <c r="J477" s="978"/>
      <c r="K477" s="1238"/>
    </row>
    <row r="478" spans="2:11" s="390" customFormat="1" ht="19.5" customHeight="1">
      <c r="B478" s="977"/>
      <c r="C478" s="391"/>
      <c r="D478" s="391"/>
      <c r="E478" s="391"/>
      <c r="F478" s="391"/>
      <c r="G478" s="391"/>
      <c r="H478" s="391"/>
      <c r="I478" s="391"/>
      <c r="J478" s="978"/>
      <c r="K478" s="1238"/>
    </row>
    <row r="479" spans="2:11" s="390" customFormat="1" ht="19.5" customHeight="1">
      <c r="B479" s="977"/>
      <c r="C479" s="391"/>
      <c r="D479" s="391"/>
      <c r="E479" s="391"/>
      <c r="F479" s="391"/>
      <c r="G479" s="391"/>
      <c r="H479" s="391"/>
      <c r="I479" s="391"/>
      <c r="J479" s="978"/>
      <c r="K479" s="1238"/>
    </row>
    <row r="480" spans="2:11" s="390" customFormat="1" ht="19.5" customHeight="1">
      <c r="B480" s="977"/>
      <c r="C480" s="391"/>
      <c r="D480" s="391"/>
      <c r="E480" s="391"/>
      <c r="F480" s="391"/>
      <c r="G480" s="391"/>
      <c r="H480" s="391"/>
      <c r="I480" s="391"/>
      <c r="J480" s="978"/>
      <c r="K480" s="1238"/>
    </row>
    <row r="481" spans="2:11" s="390" customFormat="1" ht="19.5" customHeight="1">
      <c r="B481" s="977"/>
      <c r="C481" s="391"/>
      <c r="D481" s="391"/>
      <c r="E481" s="391"/>
      <c r="F481" s="391"/>
      <c r="G481" s="391"/>
      <c r="H481" s="391"/>
      <c r="I481" s="391"/>
      <c r="J481" s="978"/>
      <c r="K481" s="1238"/>
    </row>
    <row r="482" spans="2:11" s="390" customFormat="1" ht="19.5" customHeight="1">
      <c r="B482" s="977"/>
      <c r="C482" s="391"/>
      <c r="D482" s="391"/>
      <c r="E482" s="391"/>
      <c r="F482" s="391"/>
      <c r="G482" s="391"/>
      <c r="H482" s="391"/>
      <c r="I482" s="391"/>
      <c r="J482" s="978"/>
      <c r="K482" s="1238"/>
    </row>
    <row r="483" spans="2:11" s="390" customFormat="1" ht="19.5" customHeight="1">
      <c r="B483" s="977"/>
      <c r="C483" s="391"/>
      <c r="D483" s="391"/>
      <c r="E483" s="391"/>
      <c r="F483" s="391"/>
      <c r="G483" s="391"/>
      <c r="H483" s="391"/>
      <c r="I483" s="391"/>
      <c r="J483" s="978"/>
      <c r="K483" s="1238"/>
    </row>
    <row r="484" spans="2:11" s="390" customFormat="1" ht="19.5" customHeight="1">
      <c r="B484" s="977"/>
      <c r="C484" s="391"/>
      <c r="D484" s="391"/>
      <c r="E484" s="391"/>
      <c r="F484" s="391"/>
      <c r="G484" s="391"/>
      <c r="H484" s="391"/>
      <c r="I484" s="391"/>
      <c r="J484" s="978"/>
      <c r="K484" s="1238"/>
    </row>
    <row r="485" spans="2:11" s="390" customFormat="1" ht="19.5" customHeight="1">
      <c r="B485" s="977"/>
      <c r="C485" s="391"/>
      <c r="D485" s="391"/>
      <c r="E485" s="391"/>
      <c r="F485" s="391"/>
      <c r="G485" s="391"/>
      <c r="H485" s="391"/>
      <c r="I485" s="391"/>
      <c r="J485" s="978"/>
      <c r="K485" s="1238"/>
    </row>
    <row r="486" spans="2:11" s="390" customFormat="1" ht="19.5" customHeight="1">
      <c r="B486" s="977"/>
      <c r="C486" s="391"/>
      <c r="D486" s="391"/>
      <c r="E486" s="391"/>
      <c r="F486" s="391"/>
      <c r="G486" s="391"/>
      <c r="H486" s="391"/>
      <c r="I486" s="391"/>
      <c r="J486" s="978"/>
      <c r="K486" s="1238"/>
    </row>
    <row r="487" spans="2:11" s="390" customFormat="1" ht="19.5" customHeight="1">
      <c r="B487" s="977"/>
      <c r="C487" s="391"/>
      <c r="D487" s="391"/>
      <c r="E487" s="391"/>
      <c r="F487" s="391"/>
      <c r="G487" s="391"/>
      <c r="H487" s="391"/>
      <c r="I487" s="391"/>
      <c r="J487" s="978"/>
      <c r="K487" s="1238"/>
    </row>
    <row r="488" spans="2:11" s="390" customFormat="1" ht="19.5" customHeight="1">
      <c r="B488" s="977"/>
      <c r="C488" s="391"/>
      <c r="D488" s="391"/>
      <c r="E488" s="391"/>
      <c r="F488" s="391"/>
      <c r="G488" s="391"/>
      <c r="H488" s="391"/>
      <c r="I488" s="391"/>
      <c r="J488" s="978"/>
      <c r="K488" s="1238"/>
    </row>
    <row r="489" spans="2:11" s="390" customFormat="1" ht="19.5" customHeight="1">
      <c r="B489" s="977"/>
      <c r="C489" s="391"/>
      <c r="D489" s="391"/>
      <c r="E489" s="391"/>
      <c r="F489" s="391"/>
      <c r="G489" s="391"/>
      <c r="H489" s="391"/>
      <c r="I489" s="391"/>
      <c r="J489" s="978"/>
      <c r="K489" s="1238"/>
    </row>
    <row r="490" spans="2:11" s="390" customFormat="1" ht="19.5" customHeight="1">
      <c r="B490" s="977"/>
      <c r="C490" s="391"/>
      <c r="D490" s="391"/>
      <c r="E490" s="391"/>
      <c r="F490" s="391"/>
      <c r="G490" s="391"/>
      <c r="H490" s="391"/>
      <c r="I490" s="391"/>
      <c r="J490" s="978"/>
      <c r="K490" s="1238"/>
    </row>
    <row r="491" spans="2:11" s="390" customFormat="1" ht="19.5" customHeight="1">
      <c r="B491" s="977"/>
      <c r="C491" s="391"/>
      <c r="D491" s="391"/>
      <c r="E491" s="391"/>
      <c r="F491" s="391"/>
      <c r="G491" s="391"/>
      <c r="H491" s="391"/>
      <c r="I491" s="391"/>
      <c r="J491" s="978"/>
      <c r="K491" s="1238"/>
    </row>
    <row r="492" spans="2:11" s="390" customFormat="1" ht="19.5" customHeight="1">
      <c r="B492" s="977"/>
      <c r="C492" s="391"/>
      <c r="D492" s="391"/>
      <c r="E492" s="391"/>
      <c r="F492" s="391"/>
      <c r="G492" s="391"/>
      <c r="H492" s="391"/>
      <c r="I492" s="391"/>
      <c r="J492" s="978"/>
      <c r="K492" s="1238"/>
    </row>
    <row r="493" spans="2:11" s="390" customFormat="1" ht="19.5" customHeight="1">
      <c r="B493" s="977"/>
      <c r="C493" s="391"/>
      <c r="D493" s="391"/>
      <c r="E493" s="391"/>
      <c r="F493" s="391"/>
      <c r="G493" s="391"/>
      <c r="H493" s="391"/>
      <c r="I493" s="391"/>
      <c r="J493" s="978"/>
      <c r="K493" s="1238"/>
    </row>
    <row r="494" spans="2:11" s="390" customFormat="1" ht="19.5" customHeight="1">
      <c r="B494" s="977"/>
      <c r="C494" s="391"/>
      <c r="D494" s="391"/>
      <c r="E494" s="391"/>
      <c r="F494" s="391"/>
      <c r="G494" s="391"/>
      <c r="H494" s="391"/>
      <c r="I494" s="391"/>
      <c r="J494" s="978"/>
      <c r="K494" s="1238"/>
    </row>
    <row r="495" spans="2:11" s="390" customFormat="1" ht="19.5" customHeight="1">
      <c r="B495" s="977"/>
      <c r="C495" s="391"/>
      <c r="D495" s="391"/>
      <c r="E495" s="391"/>
      <c r="F495" s="391"/>
      <c r="G495" s="391"/>
      <c r="H495" s="391"/>
      <c r="I495" s="391"/>
      <c r="J495" s="978"/>
      <c r="K495" s="1238"/>
    </row>
    <row r="496" spans="2:11" s="390" customFormat="1" ht="19.5" customHeight="1">
      <c r="B496" s="977"/>
      <c r="C496" s="391"/>
      <c r="D496" s="391"/>
      <c r="E496" s="391"/>
      <c r="F496" s="391"/>
      <c r="G496" s="391"/>
      <c r="H496" s="391"/>
      <c r="I496" s="391"/>
      <c r="J496" s="978"/>
      <c r="K496" s="1238"/>
    </row>
    <row r="497" spans="2:11" s="390" customFormat="1" ht="19.5" customHeight="1">
      <c r="B497" s="977"/>
      <c r="C497" s="391"/>
      <c r="D497" s="391"/>
      <c r="E497" s="391"/>
      <c r="F497" s="391"/>
      <c r="G497" s="391"/>
      <c r="H497" s="391"/>
      <c r="I497" s="391"/>
      <c r="J497" s="978"/>
      <c r="K497" s="1238"/>
    </row>
    <row r="498" spans="2:11" s="390" customFormat="1" ht="19.5" customHeight="1">
      <c r="B498" s="977"/>
      <c r="C498" s="391"/>
      <c r="D498" s="391"/>
      <c r="E498" s="391"/>
      <c r="F498" s="391"/>
      <c r="G498" s="391"/>
      <c r="H498" s="391"/>
      <c r="I498" s="391"/>
      <c r="J498" s="978"/>
      <c r="K498" s="1238"/>
    </row>
    <row r="499" spans="2:11" s="390" customFormat="1" ht="19.5" customHeight="1">
      <c r="B499" s="977"/>
      <c r="C499" s="391"/>
      <c r="D499" s="391"/>
      <c r="E499" s="391"/>
      <c r="F499" s="391"/>
      <c r="G499" s="391"/>
      <c r="H499" s="391"/>
      <c r="I499" s="391"/>
      <c r="J499" s="978"/>
      <c r="K499" s="1238"/>
    </row>
    <row r="500" spans="2:11" s="390" customFormat="1" ht="19.5" customHeight="1">
      <c r="B500" s="977"/>
      <c r="C500" s="391"/>
      <c r="D500" s="391"/>
      <c r="E500" s="391"/>
      <c r="F500" s="391"/>
      <c r="G500" s="391"/>
      <c r="H500" s="391"/>
      <c r="I500" s="391"/>
      <c r="J500" s="978"/>
      <c r="K500" s="1238"/>
    </row>
    <row r="501" spans="2:11" s="390" customFormat="1" ht="19.5" customHeight="1">
      <c r="B501" s="977"/>
      <c r="C501" s="391"/>
      <c r="D501" s="391"/>
      <c r="E501" s="391"/>
      <c r="F501" s="391"/>
      <c r="G501" s="391"/>
      <c r="H501" s="391"/>
      <c r="I501" s="391"/>
      <c r="J501" s="978"/>
      <c r="K501" s="1238"/>
    </row>
    <row r="502" spans="2:11" s="390" customFormat="1" ht="19.5" customHeight="1">
      <c r="B502" s="977"/>
      <c r="C502" s="391"/>
      <c r="D502" s="391"/>
      <c r="E502" s="391"/>
      <c r="F502" s="391"/>
      <c r="G502" s="391"/>
      <c r="H502" s="391"/>
      <c r="I502" s="391"/>
      <c r="J502" s="978"/>
      <c r="K502" s="1238"/>
    </row>
    <row r="503" spans="2:11" s="390" customFormat="1" ht="19.5" customHeight="1">
      <c r="B503" s="977"/>
      <c r="C503" s="391"/>
      <c r="D503" s="391"/>
      <c r="E503" s="391"/>
      <c r="F503" s="391"/>
      <c r="G503" s="391"/>
      <c r="H503" s="391"/>
      <c r="I503" s="391"/>
      <c r="J503" s="978"/>
      <c r="K503" s="1238"/>
    </row>
    <row r="504" spans="2:11" s="390" customFormat="1" ht="19.5" customHeight="1">
      <c r="B504" s="977"/>
      <c r="C504" s="391"/>
      <c r="D504" s="391"/>
      <c r="E504" s="391"/>
      <c r="F504" s="391"/>
      <c r="G504" s="391"/>
      <c r="H504" s="391"/>
      <c r="I504" s="391"/>
      <c r="J504" s="978"/>
      <c r="K504" s="1238"/>
    </row>
    <row r="505" spans="2:11" s="390" customFormat="1" ht="19.5" customHeight="1" thickBot="1">
      <c r="B505" s="1083"/>
      <c r="C505" s="979"/>
      <c r="D505" s="979"/>
      <c r="E505" s="979"/>
      <c r="F505" s="979"/>
      <c r="G505" s="979"/>
      <c r="H505" s="979"/>
      <c r="I505" s="979"/>
      <c r="J505" s="980"/>
      <c r="K505" s="1238"/>
    </row>
    <row r="506" s="390" customFormat="1" ht="15.75">
      <c r="K506" s="1238"/>
    </row>
    <row r="507" s="390" customFormat="1" ht="15.75">
      <c r="K507" s="1238"/>
    </row>
    <row r="508" s="390" customFormat="1" ht="15.75">
      <c r="K508" s="1238"/>
    </row>
    <row r="509" s="390" customFormat="1" ht="15.75">
      <c r="K509" s="1238"/>
    </row>
    <row r="510" s="390" customFormat="1" ht="15.75">
      <c r="K510" s="1238"/>
    </row>
    <row r="511" s="390" customFormat="1" ht="15.75">
      <c r="K511" s="1238"/>
    </row>
    <row r="512" s="390" customFormat="1" ht="15.75">
      <c r="K512" s="1238"/>
    </row>
    <row r="513" s="390" customFormat="1" ht="15.75">
      <c r="K513" s="1238"/>
    </row>
    <row r="514" s="390" customFormat="1" ht="15.75">
      <c r="K514" s="1238"/>
    </row>
    <row r="515" s="390" customFormat="1" ht="15.75">
      <c r="K515" s="1238"/>
    </row>
    <row r="516" s="390" customFormat="1" ht="15.75">
      <c r="K516" s="1238"/>
    </row>
    <row r="517" s="390" customFormat="1" ht="15.75">
      <c r="K517" s="1238"/>
    </row>
    <row r="518" s="390" customFormat="1" ht="15.75">
      <c r="K518" s="1238"/>
    </row>
    <row r="519" s="390" customFormat="1" ht="15.75">
      <c r="K519" s="1238"/>
    </row>
    <row r="520" s="390" customFormat="1" ht="15.75">
      <c r="K520" s="1238"/>
    </row>
    <row r="521" s="390" customFormat="1" ht="15.75">
      <c r="K521" s="1238"/>
    </row>
    <row r="522" s="390" customFormat="1" ht="15.75">
      <c r="K522" s="1238"/>
    </row>
    <row r="523" s="390" customFormat="1" ht="15.75">
      <c r="K523" s="1238"/>
    </row>
    <row r="524" s="390" customFormat="1" ht="15.75">
      <c r="K524" s="1238"/>
    </row>
    <row r="525" s="390" customFormat="1" ht="15.75">
      <c r="K525" s="1238"/>
    </row>
    <row r="526" s="390" customFormat="1" ht="15.75">
      <c r="K526" s="1238"/>
    </row>
    <row r="527" s="390" customFormat="1" ht="15.75">
      <c r="K527" s="1238"/>
    </row>
    <row r="528" s="390" customFormat="1" ht="15.75">
      <c r="K528" s="1238"/>
    </row>
    <row r="529" s="390" customFormat="1" ht="15.75">
      <c r="K529" s="1238"/>
    </row>
    <row r="530" s="390" customFormat="1" ht="15.75">
      <c r="K530" s="1238"/>
    </row>
    <row r="531" s="390" customFormat="1" ht="15.75">
      <c r="K531" s="1238"/>
    </row>
    <row r="532" s="390" customFormat="1" ht="15.75">
      <c r="K532" s="1238"/>
    </row>
    <row r="533" s="390" customFormat="1" ht="15.75">
      <c r="K533" s="1238"/>
    </row>
    <row r="534" s="390" customFormat="1" ht="15.75">
      <c r="K534" s="1238"/>
    </row>
    <row r="535" s="390" customFormat="1" ht="15.75">
      <c r="K535" s="1238"/>
    </row>
    <row r="536" s="390" customFormat="1" ht="15.75">
      <c r="K536" s="1238"/>
    </row>
    <row r="537" s="390" customFormat="1" ht="15.75">
      <c r="K537" s="1238"/>
    </row>
    <row r="538" s="390" customFormat="1" ht="15.75">
      <c r="K538" s="1238"/>
    </row>
    <row r="539" s="390" customFormat="1" ht="15.75">
      <c r="K539" s="1238"/>
    </row>
    <row r="540" s="390" customFormat="1" ht="15.75">
      <c r="K540" s="1238"/>
    </row>
    <row r="541" s="390" customFormat="1" ht="15.75">
      <c r="K541" s="1238"/>
    </row>
    <row r="542" s="390" customFormat="1" ht="15.75">
      <c r="K542" s="1238"/>
    </row>
    <row r="543" s="390" customFormat="1" ht="15.75">
      <c r="K543" s="1238"/>
    </row>
    <row r="544" s="390" customFormat="1" ht="15.75">
      <c r="K544" s="1238"/>
    </row>
    <row r="545" s="390" customFormat="1" ht="15.75">
      <c r="K545" s="1238"/>
    </row>
    <row r="546" s="390" customFormat="1" ht="15.75">
      <c r="K546" s="1238"/>
    </row>
    <row r="547" s="390" customFormat="1" ht="15.75">
      <c r="K547" s="1238"/>
    </row>
    <row r="548" s="390" customFormat="1" ht="15.75">
      <c r="K548" s="1238"/>
    </row>
    <row r="549" s="390" customFormat="1" ht="15.75">
      <c r="K549" s="1238"/>
    </row>
    <row r="550" s="390" customFormat="1" ht="15.75">
      <c r="K550" s="1238"/>
    </row>
    <row r="551" s="390" customFormat="1" ht="15.75">
      <c r="K551" s="1238"/>
    </row>
    <row r="552" s="390" customFormat="1" ht="15.75">
      <c r="K552" s="1238"/>
    </row>
    <row r="553" s="390" customFormat="1" ht="15.75">
      <c r="K553" s="1238"/>
    </row>
    <row r="554" s="390" customFormat="1" ht="15.75">
      <c r="K554" s="1238"/>
    </row>
    <row r="555" s="390" customFormat="1" ht="15.75">
      <c r="K555" s="1238"/>
    </row>
    <row r="556" s="390" customFormat="1" ht="15.75">
      <c r="K556" s="1238"/>
    </row>
    <row r="557" s="390" customFormat="1" ht="15.75">
      <c r="K557" s="1238"/>
    </row>
    <row r="558" s="390" customFormat="1" ht="15.75">
      <c r="K558" s="1238"/>
    </row>
    <row r="559" s="390" customFormat="1" ht="15.75">
      <c r="K559" s="1238"/>
    </row>
    <row r="560" s="390" customFormat="1" ht="15.75">
      <c r="K560" s="1238"/>
    </row>
    <row r="561" s="390" customFormat="1" ht="15.75">
      <c r="K561" s="1238"/>
    </row>
    <row r="562" s="390" customFormat="1" ht="15.75">
      <c r="K562" s="1238"/>
    </row>
    <row r="563" s="390" customFormat="1" ht="15.75">
      <c r="K563" s="1238"/>
    </row>
    <row r="564" s="390" customFormat="1" ht="15.75">
      <c r="K564" s="1238"/>
    </row>
    <row r="565" s="390" customFormat="1" ht="15.75">
      <c r="K565" s="1238"/>
    </row>
    <row r="566" s="390" customFormat="1" ht="15.75">
      <c r="K566" s="1238"/>
    </row>
    <row r="567" s="390" customFormat="1" ht="15.75">
      <c r="K567" s="1238"/>
    </row>
    <row r="568" s="390" customFormat="1" ht="15.75">
      <c r="K568" s="1238"/>
    </row>
    <row r="569" s="390" customFormat="1" ht="15.75">
      <c r="K569" s="1238"/>
    </row>
    <row r="570" s="390" customFormat="1" ht="15.75">
      <c r="K570" s="1238"/>
    </row>
    <row r="571" s="390" customFormat="1" ht="15.75">
      <c r="K571" s="1238"/>
    </row>
    <row r="572" s="390" customFormat="1" ht="15.75">
      <c r="K572" s="1238"/>
    </row>
    <row r="573" s="390" customFormat="1" ht="15.75">
      <c r="K573" s="1238"/>
    </row>
    <row r="574" s="390" customFormat="1" ht="15.75">
      <c r="K574" s="1238"/>
    </row>
    <row r="575" s="390" customFormat="1" ht="15.75">
      <c r="K575" s="1238"/>
    </row>
    <row r="576" s="390" customFormat="1" ht="15.75">
      <c r="K576" s="1238"/>
    </row>
    <row r="577" s="390" customFormat="1" ht="15.75">
      <c r="K577" s="1238"/>
    </row>
    <row r="578" s="390" customFormat="1" ht="15.75">
      <c r="K578" s="1238"/>
    </row>
    <row r="579" s="390" customFormat="1" ht="15.75">
      <c r="K579" s="1238"/>
    </row>
    <row r="580" s="390" customFormat="1" ht="15.75">
      <c r="K580" s="1238"/>
    </row>
    <row r="581" s="390" customFormat="1" ht="15.75">
      <c r="K581" s="1238"/>
    </row>
    <row r="582" s="390" customFormat="1" ht="15.75">
      <c r="K582" s="1238"/>
    </row>
    <row r="583" s="390" customFormat="1" ht="15.75">
      <c r="K583" s="1238"/>
    </row>
    <row r="584" s="390" customFormat="1" ht="15.75">
      <c r="K584" s="1238"/>
    </row>
    <row r="585" s="390" customFormat="1" ht="15.75">
      <c r="K585" s="1238"/>
    </row>
    <row r="586" s="390" customFormat="1" ht="15.75">
      <c r="K586" s="1238"/>
    </row>
    <row r="587" s="390" customFormat="1" ht="15.75">
      <c r="K587" s="1238"/>
    </row>
    <row r="588" s="390" customFormat="1" ht="15.75">
      <c r="K588" s="1238"/>
    </row>
    <row r="589" s="390" customFormat="1" ht="15.75">
      <c r="K589" s="1238"/>
    </row>
    <row r="590" s="390" customFormat="1" ht="15.75">
      <c r="K590" s="1238"/>
    </row>
    <row r="591" s="390" customFormat="1" ht="15.75">
      <c r="K591" s="1238"/>
    </row>
    <row r="592" s="390" customFormat="1" ht="15.75">
      <c r="K592" s="1238"/>
    </row>
    <row r="593" s="390" customFormat="1" ht="15.75">
      <c r="K593" s="1238"/>
    </row>
    <row r="594" s="390" customFormat="1" ht="15.75">
      <c r="K594" s="1238"/>
    </row>
    <row r="595" s="390" customFormat="1" ht="15.75">
      <c r="K595" s="1238"/>
    </row>
    <row r="596" s="390" customFormat="1" ht="15.75">
      <c r="K596" s="1238"/>
    </row>
    <row r="597" s="390" customFormat="1" ht="15.75">
      <c r="K597" s="1238"/>
    </row>
    <row r="598" s="390" customFormat="1" ht="15.75">
      <c r="K598" s="1238"/>
    </row>
    <row r="599" s="390" customFormat="1" ht="15.75">
      <c r="K599" s="1238"/>
    </row>
    <row r="600" s="390" customFormat="1" ht="15.75">
      <c r="K600" s="1238"/>
    </row>
    <row r="601" s="390" customFormat="1" ht="15.75">
      <c r="K601" s="1238"/>
    </row>
    <row r="602" s="390" customFormat="1" ht="15.75">
      <c r="K602" s="1238"/>
    </row>
    <row r="603" s="390" customFormat="1" ht="15.75">
      <c r="K603" s="1238"/>
    </row>
    <row r="604" s="390" customFormat="1" ht="15.75">
      <c r="K604" s="1238"/>
    </row>
    <row r="605" s="390" customFormat="1" ht="15.75">
      <c r="K605" s="1238"/>
    </row>
    <row r="606" s="390" customFormat="1" ht="15.75">
      <c r="K606" s="1238"/>
    </row>
    <row r="607" s="390" customFormat="1" ht="15.75">
      <c r="K607" s="1238"/>
    </row>
    <row r="608" s="390" customFormat="1" ht="15.75">
      <c r="K608" s="1238"/>
    </row>
    <row r="609" s="390" customFormat="1" ht="15.75">
      <c r="K609" s="1238"/>
    </row>
    <row r="610" s="390" customFormat="1" ht="15.75">
      <c r="K610" s="1238"/>
    </row>
    <row r="611" s="390" customFormat="1" ht="15.75">
      <c r="K611" s="1238"/>
    </row>
    <row r="612" s="390" customFormat="1" ht="15.75">
      <c r="K612" s="1238"/>
    </row>
    <row r="613" s="390" customFormat="1" ht="15.75">
      <c r="K613" s="1238"/>
    </row>
    <row r="614" s="390" customFormat="1" ht="15.75">
      <c r="K614" s="1238"/>
    </row>
    <row r="615" s="390" customFormat="1" ht="15.75">
      <c r="K615" s="1238"/>
    </row>
    <row r="616" s="390" customFormat="1" ht="15.75">
      <c r="K616" s="1238"/>
    </row>
    <row r="617" s="390" customFormat="1" ht="15.75">
      <c r="K617" s="1238"/>
    </row>
    <row r="618" s="390" customFormat="1" ht="15.75">
      <c r="K618" s="1238"/>
    </row>
    <row r="619" s="390" customFormat="1" ht="15.75">
      <c r="K619" s="1238"/>
    </row>
    <row r="620" s="390" customFormat="1" ht="15.75">
      <c r="K620" s="1238"/>
    </row>
    <row r="621" s="390" customFormat="1" ht="15.75">
      <c r="K621" s="1238"/>
    </row>
    <row r="622" s="390" customFormat="1" ht="15.75">
      <c r="K622" s="1238"/>
    </row>
    <row r="623" s="390" customFormat="1" ht="15.75">
      <c r="K623" s="1238"/>
    </row>
    <row r="624" s="390" customFormat="1" ht="15.75">
      <c r="K624" s="1238"/>
    </row>
    <row r="625" s="390" customFormat="1" ht="15.75">
      <c r="K625" s="1238"/>
    </row>
    <row r="626" s="390" customFormat="1" ht="15.75">
      <c r="K626" s="1238"/>
    </row>
    <row r="627" s="390" customFormat="1" ht="15.75">
      <c r="K627" s="1238"/>
    </row>
    <row r="628" s="390" customFormat="1" ht="15.75">
      <c r="K628" s="1238"/>
    </row>
    <row r="629" s="390" customFormat="1" ht="15.75">
      <c r="K629" s="1238"/>
    </row>
    <row r="630" s="390" customFormat="1" ht="15.75">
      <c r="K630" s="1238"/>
    </row>
    <row r="631" s="390" customFormat="1" ht="15.75">
      <c r="K631" s="1238"/>
    </row>
    <row r="632" s="390" customFormat="1" ht="15.75">
      <c r="K632" s="1238"/>
    </row>
    <row r="633" s="390" customFormat="1" ht="15.75">
      <c r="K633" s="1238"/>
    </row>
    <row r="634" s="390" customFormat="1" ht="15.75">
      <c r="K634" s="1238"/>
    </row>
    <row r="635" s="390" customFormat="1" ht="15.75">
      <c r="K635" s="1238"/>
    </row>
    <row r="636" s="390" customFormat="1" ht="15.75">
      <c r="K636" s="1238"/>
    </row>
    <row r="637" s="390" customFormat="1" ht="15.75">
      <c r="K637" s="1238"/>
    </row>
    <row r="638" s="390" customFormat="1" ht="15.75">
      <c r="K638" s="1238"/>
    </row>
    <row r="639" s="390" customFormat="1" ht="15.75">
      <c r="K639" s="1238"/>
    </row>
    <row r="640" s="390" customFormat="1" ht="15.75">
      <c r="K640" s="1238"/>
    </row>
    <row r="641" s="390" customFormat="1" ht="15.75">
      <c r="K641" s="1238"/>
    </row>
    <row r="642" s="390" customFormat="1" ht="15.75">
      <c r="K642" s="1238"/>
    </row>
    <row r="643" s="390" customFormat="1" ht="15.75">
      <c r="K643" s="1238"/>
    </row>
    <row r="644" s="390" customFormat="1" ht="15.75">
      <c r="K644" s="1238"/>
    </row>
    <row r="645" s="390" customFormat="1" ht="15.75">
      <c r="K645" s="1238"/>
    </row>
    <row r="646" s="390" customFormat="1" ht="15.75">
      <c r="K646" s="1238"/>
    </row>
    <row r="647" s="390" customFormat="1" ht="15.75">
      <c r="K647" s="1238"/>
    </row>
    <row r="648" s="390" customFormat="1" ht="15.75">
      <c r="K648" s="1238"/>
    </row>
    <row r="649" s="390" customFormat="1" ht="15.75">
      <c r="K649" s="1238"/>
    </row>
    <row r="650" s="390" customFormat="1" ht="15.75">
      <c r="K650" s="1238"/>
    </row>
    <row r="651" s="390" customFormat="1" ht="15.75">
      <c r="K651" s="1238"/>
    </row>
    <row r="652" s="390" customFormat="1" ht="15.75">
      <c r="K652" s="1238"/>
    </row>
    <row r="653" s="390" customFormat="1" ht="15.75">
      <c r="K653" s="1238"/>
    </row>
    <row r="654" s="390" customFormat="1" ht="15.75">
      <c r="K654" s="1238"/>
    </row>
    <row r="655" s="390" customFormat="1" ht="15.75">
      <c r="K655" s="1238"/>
    </row>
    <row r="656" s="390" customFormat="1" ht="15.75">
      <c r="K656" s="1238"/>
    </row>
    <row r="657" s="390" customFormat="1" ht="15.75">
      <c r="K657" s="1238"/>
    </row>
    <row r="658" s="390" customFormat="1" ht="15.75">
      <c r="K658" s="1238"/>
    </row>
    <row r="659" s="390" customFormat="1" ht="15.75">
      <c r="K659" s="1238"/>
    </row>
    <row r="660" s="390" customFormat="1" ht="15.75">
      <c r="K660" s="1238"/>
    </row>
    <row r="661" s="390" customFormat="1" ht="15.75">
      <c r="K661" s="1238"/>
    </row>
    <row r="662" s="390" customFormat="1" ht="15.75">
      <c r="K662" s="1238"/>
    </row>
    <row r="663" s="390" customFormat="1" ht="15.75">
      <c r="K663" s="1238"/>
    </row>
    <row r="664" s="390" customFormat="1" ht="15.75">
      <c r="K664" s="1238"/>
    </row>
    <row r="665" s="390" customFormat="1" ht="15.75">
      <c r="K665" s="1238"/>
    </row>
    <row r="666" s="390" customFormat="1" ht="15.75">
      <c r="K666" s="1238"/>
    </row>
    <row r="667" s="390" customFormat="1" ht="15.75">
      <c r="K667" s="1238"/>
    </row>
    <row r="668" s="390" customFormat="1" ht="15.75">
      <c r="K668" s="1238"/>
    </row>
    <row r="669" s="390" customFormat="1" ht="15.75">
      <c r="K669" s="1238"/>
    </row>
    <row r="670" s="390" customFormat="1" ht="15.75">
      <c r="K670" s="1238"/>
    </row>
    <row r="671" s="390" customFormat="1" ht="15.75">
      <c r="K671" s="1238"/>
    </row>
    <row r="672" s="390" customFormat="1" ht="15.75">
      <c r="K672" s="1238"/>
    </row>
    <row r="673" s="390" customFormat="1" ht="15.75">
      <c r="K673" s="1238"/>
    </row>
    <row r="674" s="390" customFormat="1" ht="15.75">
      <c r="K674" s="1238"/>
    </row>
    <row r="675" s="390" customFormat="1" ht="15.75">
      <c r="K675" s="1238"/>
    </row>
    <row r="676" s="390" customFormat="1" ht="15.75">
      <c r="K676" s="1238"/>
    </row>
    <row r="677" s="390" customFormat="1" ht="15.75">
      <c r="K677" s="1238"/>
    </row>
    <row r="678" s="390" customFormat="1" ht="15.75">
      <c r="K678" s="1238"/>
    </row>
    <row r="679" s="390" customFormat="1" ht="15.75">
      <c r="K679" s="1238"/>
    </row>
    <row r="680" s="390" customFormat="1" ht="15.75">
      <c r="K680" s="1238"/>
    </row>
    <row r="681" s="390" customFormat="1" ht="15.75">
      <c r="K681" s="1238"/>
    </row>
    <row r="682" s="390" customFormat="1" ht="15.75">
      <c r="K682" s="1238"/>
    </row>
    <row r="683" s="390" customFormat="1" ht="15.75">
      <c r="K683" s="1238"/>
    </row>
    <row r="684" s="390" customFormat="1" ht="15.75">
      <c r="K684" s="1238"/>
    </row>
    <row r="685" s="390" customFormat="1" ht="15.75">
      <c r="K685" s="1238"/>
    </row>
    <row r="686" s="390" customFormat="1" ht="15.75">
      <c r="K686" s="1238"/>
    </row>
    <row r="687" s="390" customFormat="1" ht="15.75">
      <c r="K687" s="1238"/>
    </row>
    <row r="688" s="390" customFormat="1" ht="15.75">
      <c r="K688" s="1238"/>
    </row>
    <row r="689" s="390" customFormat="1" ht="15.75">
      <c r="K689" s="1238"/>
    </row>
    <row r="690" s="390" customFormat="1" ht="15.75">
      <c r="K690" s="1238"/>
    </row>
    <row r="691" s="390" customFormat="1" ht="15.75">
      <c r="K691" s="1238"/>
    </row>
    <row r="692" s="390" customFormat="1" ht="15.75">
      <c r="K692" s="1238"/>
    </row>
    <row r="693" s="390" customFormat="1" ht="15.75">
      <c r="K693" s="1238"/>
    </row>
    <row r="694" s="390" customFormat="1" ht="15.75">
      <c r="K694" s="1238"/>
    </row>
    <row r="695" s="390" customFormat="1" ht="15.75">
      <c r="K695" s="1238"/>
    </row>
    <row r="696" s="390" customFormat="1" ht="15.75">
      <c r="K696" s="1238"/>
    </row>
    <row r="697" s="390" customFormat="1" ht="15.75">
      <c r="K697" s="1238"/>
    </row>
    <row r="698" s="390" customFormat="1" ht="15.75">
      <c r="K698" s="1238"/>
    </row>
    <row r="699" s="390" customFormat="1" ht="15.75">
      <c r="K699" s="1238"/>
    </row>
    <row r="700" s="390" customFormat="1" ht="15.75">
      <c r="K700" s="1238"/>
    </row>
    <row r="701" s="390" customFormat="1" ht="15.75">
      <c r="K701" s="1238"/>
    </row>
    <row r="702" s="390" customFormat="1" ht="15.75">
      <c r="K702" s="1238"/>
    </row>
    <row r="703" s="390" customFormat="1" ht="15.75">
      <c r="K703" s="1238"/>
    </row>
    <row r="704" s="390" customFormat="1" ht="15.75">
      <c r="K704" s="1238"/>
    </row>
    <row r="705" s="390" customFormat="1" ht="15.75">
      <c r="K705" s="1238"/>
    </row>
    <row r="706" s="390" customFormat="1" ht="15.75">
      <c r="K706" s="1238"/>
    </row>
    <row r="707" s="390" customFormat="1" ht="15.75">
      <c r="K707" s="1238"/>
    </row>
    <row r="708" s="390" customFormat="1" ht="15.75">
      <c r="K708" s="1238"/>
    </row>
    <row r="709" s="390" customFormat="1" ht="15.75">
      <c r="K709" s="1238"/>
    </row>
    <row r="710" s="390" customFormat="1" ht="15.75">
      <c r="K710" s="1238"/>
    </row>
    <row r="711" s="390" customFormat="1" ht="15.75">
      <c r="K711" s="1238"/>
    </row>
    <row r="712" s="390" customFormat="1" ht="15.75">
      <c r="K712" s="1238"/>
    </row>
    <row r="713" s="390" customFormat="1" ht="15.75">
      <c r="K713" s="1238"/>
    </row>
    <row r="714" s="390" customFormat="1" ht="15.75">
      <c r="K714" s="1238"/>
    </row>
    <row r="715" s="390" customFormat="1" ht="15.75">
      <c r="K715" s="1238"/>
    </row>
    <row r="716" s="390" customFormat="1" ht="15.75">
      <c r="K716" s="1238"/>
    </row>
    <row r="717" s="390" customFormat="1" ht="15.75">
      <c r="K717" s="1238"/>
    </row>
    <row r="718" s="390" customFormat="1" ht="15.75">
      <c r="K718" s="1238"/>
    </row>
    <row r="719" s="390" customFormat="1" ht="15.75">
      <c r="K719" s="1238"/>
    </row>
    <row r="720" s="390" customFormat="1" ht="15.75">
      <c r="K720" s="1238"/>
    </row>
    <row r="721" s="390" customFormat="1" ht="15.75">
      <c r="K721" s="1238"/>
    </row>
    <row r="722" s="390" customFormat="1" ht="15.75">
      <c r="K722" s="1238"/>
    </row>
    <row r="723" s="390" customFormat="1" ht="15.75">
      <c r="K723" s="1238"/>
    </row>
    <row r="724" s="390" customFormat="1" ht="15.75">
      <c r="K724" s="1238"/>
    </row>
    <row r="725" s="390" customFormat="1" ht="15.75">
      <c r="K725" s="1238"/>
    </row>
    <row r="726" s="390" customFormat="1" ht="15.75">
      <c r="K726" s="1238"/>
    </row>
    <row r="727" s="390" customFormat="1" ht="15.75">
      <c r="K727" s="1238"/>
    </row>
    <row r="728" s="390" customFormat="1" ht="15.75">
      <c r="K728" s="1238"/>
    </row>
    <row r="729" s="390" customFormat="1" ht="15.75">
      <c r="K729" s="1238"/>
    </row>
    <row r="730" s="390" customFormat="1" ht="15.75">
      <c r="K730" s="1238"/>
    </row>
    <row r="731" s="390" customFormat="1" ht="15.75">
      <c r="K731" s="1238"/>
    </row>
    <row r="732" s="390" customFormat="1" ht="15.75">
      <c r="K732" s="1238"/>
    </row>
    <row r="733" s="390" customFormat="1" ht="15.75">
      <c r="K733" s="1238"/>
    </row>
    <row r="734" s="390" customFormat="1" ht="15.75">
      <c r="K734" s="1238"/>
    </row>
    <row r="735" s="390" customFormat="1" ht="15.75">
      <c r="K735" s="1238"/>
    </row>
    <row r="736" s="390" customFormat="1" ht="15.75">
      <c r="K736" s="1238"/>
    </row>
    <row r="737" s="390" customFormat="1" ht="15.75">
      <c r="K737" s="1238"/>
    </row>
    <row r="738" s="390" customFormat="1" ht="15.75">
      <c r="K738" s="1238"/>
    </row>
    <row r="739" s="390" customFormat="1" ht="15.75">
      <c r="K739" s="1238"/>
    </row>
    <row r="740" s="390" customFormat="1" ht="15.75">
      <c r="K740" s="1238"/>
    </row>
    <row r="741" s="390" customFormat="1" ht="15.75">
      <c r="K741" s="1238"/>
    </row>
    <row r="742" s="390" customFormat="1" ht="15.75">
      <c r="K742" s="1238"/>
    </row>
    <row r="743" s="390" customFormat="1" ht="15.75">
      <c r="K743" s="1238"/>
    </row>
    <row r="744" s="390" customFormat="1" ht="15.75">
      <c r="K744" s="1238"/>
    </row>
    <row r="745" s="390" customFormat="1" ht="15.75">
      <c r="K745" s="1238"/>
    </row>
    <row r="746" s="390" customFormat="1" ht="15.75">
      <c r="K746" s="1238"/>
    </row>
    <row r="747" s="390" customFormat="1" ht="15.75">
      <c r="K747" s="1238"/>
    </row>
    <row r="748" s="390" customFormat="1" ht="15.75">
      <c r="K748" s="1238"/>
    </row>
    <row r="749" s="390" customFormat="1" ht="15.75">
      <c r="K749" s="1238"/>
    </row>
    <row r="750" s="390" customFormat="1" ht="15.75">
      <c r="K750" s="1238"/>
    </row>
    <row r="751" s="390" customFormat="1" ht="15.75">
      <c r="K751" s="1238"/>
    </row>
    <row r="752" s="390" customFormat="1" ht="15.75">
      <c r="K752" s="1238"/>
    </row>
    <row r="753" s="390" customFormat="1" ht="15.75">
      <c r="K753" s="1238"/>
    </row>
    <row r="754" s="390" customFormat="1" ht="15.75">
      <c r="K754" s="1238"/>
    </row>
    <row r="755" s="390" customFormat="1" ht="15.75">
      <c r="K755" s="1238"/>
    </row>
    <row r="756" s="390" customFormat="1" ht="15.75">
      <c r="K756" s="1238"/>
    </row>
    <row r="757" s="390" customFormat="1" ht="15.75">
      <c r="K757" s="1238"/>
    </row>
    <row r="758" s="390" customFormat="1" ht="15.75">
      <c r="K758" s="1238"/>
    </row>
    <row r="759" s="390" customFormat="1" ht="15.75">
      <c r="K759" s="1238"/>
    </row>
    <row r="760" s="390" customFormat="1" ht="15.75">
      <c r="K760" s="1238"/>
    </row>
    <row r="761" s="390" customFormat="1" ht="15.75">
      <c r="K761" s="1238"/>
    </row>
    <row r="762" s="390" customFormat="1" ht="15.75">
      <c r="K762" s="1238"/>
    </row>
    <row r="763" s="390" customFormat="1" ht="15.75">
      <c r="K763" s="1238"/>
    </row>
    <row r="764" s="390" customFormat="1" ht="15.75">
      <c r="K764" s="1238"/>
    </row>
    <row r="765" s="390" customFormat="1" ht="15.75">
      <c r="K765" s="1238"/>
    </row>
    <row r="766" s="390" customFormat="1" ht="15.75">
      <c r="K766" s="1238"/>
    </row>
    <row r="767" s="390" customFormat="1" ht="15.75">
      <c r="K767" s="1238"/>
    </row>
    <row r="768" s="390" customFormat="1" ht="15.75">
      <c r="K768" s="1238"/>
    </row>
    <row r="769" s="390" customFormat="1" ht="15.75">
      <c r="K769" s="1238"/>
    </row>
    <row r="770" s="390" customFormat="1" ht="15.75">
      <c r="K770" s="1238"/>
    </row>
    <row r="771" s="390" customFormat="1" ht="15.75">
      <c r="K771" s="1238"/>
    </row>
    <row r="772" s="390" customFormat="1" ht="15.75">
      <c r="K772" s="1238"/>
    </row>
    <row r="773" s="390" customFormat="1" ht="15.75">
      <c r="K773" s="1238"/>
    </row>
    <row r="774" s="390" customFormat="1" ht="15.75">
      <c r="K774" s="1238"/>
    </row>
    <row r="775" s="390" customFormat="1" ht="15.75">
      <c r="K775" s="1238"/>
    </row>
    <row r="776" s="390" customFormat="1" ht="15.75">
      <c r="K776" s="1238"/>
    </row>
    <row r="777" s="390" customFormat="1" ht="15.75">
      <c r="K777" s="1238"/>
    </row>
    <row r="778" s="390" customFormat="1" ht="15.75">
      <c r="K778" s="1238"/>
    </row>
    <row r="779" s="390" customFormat="1" ht="15.75">
      <c r="K779" s="1238"/>
    </row>
    <row r="780" s="390" customFormat="1" ht="15.75">
      <c r="K780" s="1238"/>
    </row>
    <row r="781" s="390" customFormat="1" ht="15.75">
      <c r="K781" s="1238"/>
    </row>
    <row r="782" s="390" customFormat="1" ht="15.75">
      <c r="K782" s="1238"/>
    </row>
    <row r="783" s="390" customFormat="1" ht="15.75">
      <c r="K783" s="1238"/>
    </row>
    <row r="784" s="390" customFormat="1" ht="15.75">
      <c r="K784" s="1238"/>
    </row>
    <row r="785" s="390" customFormat="1" ht="15.75">
      <c r="K785" s="1238"/>
    </row>
    <row r="786" s="390" customFormat="1" ht="15.75">
      <c r="K786" s="1238"/>
    </row>
    <row r="787" s="390" customFormat="1" ht="15.75">
      <c r="K787" s="1238"/>
    </row>
    <row r="788" s="390" customFormat="1" ht="15.75">
      <c r="K788" s="1238"/>
    </row>
    <row r="789" s="390" customFormat="1" ht="15.75">
      <c r="K789" s="1238"/>
    </row>
    <row r="790" s="390" customFormat="1" ht="15.75">
      <c r="K790" s="1238"/>
    </row>
    <row r="791" s="390" customFormat="1" ht="15.75">
      <c r="K791" s="1238"/>
    </row>
    <row r="792" s="390" customFormat="1" ht="15.75">
      <c r="K792" s="1238"/>
    </row>
    <row r="793" s="390" customFormat="1" ht="15.75">
      <c r="K793" s="1238"/>
    </row>
    <row r="794" s="390" customFormat="1" ht="15.75">
      <c r="K794" s="1238"/>
    </row>
    <row r="795" s="390" customFormat="1" ht="15.75">
      <c r="K795" s="1238"/>
    </row>
    <row r="796" s="390" customFormat="1" ht="15.75">
      <c r="K796" s="1238"/>
    </row>
    <row r="797" s="390" customFormat="1" ht="15.75">
      <c r="K797" s="1238"/>
    </row>
    <row r="798" s="390" customFormat="1" ht="15.75">
      <c r="K798" s="1238"/>
    </row>
    <row r="799" s="390" customFormat="1" ht="15.75">
      <c r="K799" s="1238"/>
    </row>
    <row r="800" s="390" customFormat="1" ht="15.75">
      <c r="K800" s="1238"/>
    </row>
    <row r="801" s="390" customFormat="1" ht="15.75">
      <c r="K801" s="1238"/>
    </row>
    <row r="802" s="390" customFormat="1" ht="15.75">
      <c r="K802" s="1238"/>
    </row>
    <row r="803" s="390" customFormat="1" ht="15.75">
      <c r="K803" s="1238"/>
    </row>
    <row r="804" s="390" customFormat="1" ht="15.75">
      <c r="K804" s="1238"/>
    </row>
    <row r="805" s="390" customFormat="1" ht="15.75">
      <c r="K805" s="1238"/>
    </row>
    <row r="806" s="390" customFormat="1" ht="15.75">
      <c r="K806" s="1238"/>
    </row>
    <row r="807" s="390" customFormat="1" ht="15.75">
      <c r="K807" s="1238"/>
    </row>
    <row r="808" s="390" customFormat="1" ht="15.75">
      <c r="K808" s="1238"/>
    </row>
    <row r="809" s="390" customFormat="1" ht="15.75">
      <c r="K809" s="1238"/>
    </row>
    <row r="810" s="390" customFormat="1" ht="15.75">
      <c r="K810" s="1238"/>
    </row>
    <row r="811" s="390" customFormat="1" ht="15.75">
      <c r="K811" s="1238"/>
    </row>
    <row r="812" s="390" customFormat="1" ht="15.75">
      <c r="K812" s="1238"/>
    </row>
    <row r="813" s="390" customFormat="1" ht="15.75">
      <c r="K813" s="1238"/>
    </row>
    <row r="814" s="390" customFormat="1" ht="15.75">
      <c r="K814" s="1238"/>
    </row>
    <row r="815" s="390" customFormat="1" ht="15.75">
      <c r="K815" s="1238"/>
    </row>
    <row r="816" s="390" customFormat="1" ht="15.75">
      <c r="K816" s="1238"/>
    </row>
    <row r="817" s="390" customFormat="1" ht="15.75">
      <c r="K817" s="1238"/>
    </row>
    <row r="818" s="390" customFormat="1" ht="15.75">
      <c r="K818" s="1238"/>
    </row>
    <row r="819" s="390" customFormat="1" ht="15.75">
      <c r="K819" s="1238"/>
    </row>
    <row r="820" s="390" customFormat="1" ht="15.75">
      <c r="K820" s="1238"/>
    </row>
    <row r="821" s="390" customFormat="1" ht="15.75">
      <c r="K821" s="1238"/>
    </row>
    <row r="822" s="390" customFormat="1" ht="15.75">
      <c r="K822" s="1238"/>
    </row>
    <row r="823" s="390" customFormat="1" ht="15.75">
      <c r="K823" s="1238"/>
    </row>
    <row r="824" s="390" customFormat="1" ht="15.75">
      <c r="K824" s="1238"/>
    </row>
    <row r="825" s="390" customFormat="1" ht="15.75">
      <c r="K825" s="1238"/>
    </row>
    <row r="826" s="390" customFormat="1" ht="15.75">
      <c r="K826" s="1238"/>
    </row>
    <row r="827" s="390" customFormat="1" ht="15.75">
      <c r="K827" s="1238"/>
    </row>
    <row r="828" s="390" customFormat="1" ht="15.75">
      <c r="K828" s="1238"/>
    </row>
    <row r="829" s="390" customFormat="1" ht="15.75">
      <c r="K829" s="1238"/>
    </row>
    <row r="830" s="390" customFormat="1" ht="15.75">
      <c r="K830" s="1238"/>
    </row>
    <row r="831" s="390" customFormat="1" ht="15.75">
      <c r="K831" s="1238"/>
    </row>
    <row r="832" s="390" customFormat="1" ht="15.75">
      <c r="K832" s="1238"/>
    </row>
    <row r="833" s="390" customFormat="1" ht="15.75">
      <c r="K833" s="1238"/>
    </row>
    <row r="834" s="390" customFormat="1" ht="15.75">
      <c r="K834" s="1238"/>
    </row>
    <row r="835" s="390" customFormat="1" ht="15.75">
      <c r="K835" s="1238"/>
    </row>
    <row r="836" s="390" customFormat="1" ht="15.75">
      <c r="K836" s="1238"/>
    </row>
    <row r="837" s="390" customFormat="1" ht="15.75">
      <c r="K837" s="1238"/>
    </row>
    <row r="838" s="390" customFormat="1" ht="15.75">
      <c r="K838" s="1238"/>
    </row>
    <row r="839" s="390" customFormat="1" ht="15.75">
      <c r="K839" s="1238"/>
    </row>
    <row r="840" s="390" customFormat="1" ht="15.75">
      <c r="K840" s="1238"/>
    </row>
    <row r="841" s="390" customFormat="1" ht="15.75">
      <c r="K841" s="1238"/>
    </row>
    <row r="842" s="390" customFormat="1" ht="15.75">
      <c r="K842" s="1238"/>
    </row>
    <row r="843" s="390" customFormat="1" ht="15.75">
      <c r="K843" s="1238"/>
    </row>
    <row r="844" s="390" customFormat="1" ht="15.75">
      <c r="K844" s="1238"/>
    </row>
    <row r="845" s="390" customFormat="1" ht="15.75">
      <c r="K845" s="1238"/>
    </row>
    <row r="846" s="390" customFormat="1" ht="15.75">
      <c r="K846" s="1238"/>
    </row>
    <row r="847" s="390" customFormat="1" ht="15.75">
      <c r="K847" s="1238"/>
    </row>
    <row r="848" s="390" customFormat="1" ht="15.75">
      <c r="K848" s="1238"/>
    </row>
    <row r="849" s="390" customFormat="1" ht="15.75">
      <c r="K849" s="1238"/>
    </row>
    <row r="850" s="390" customFormat="1" ht="15.75">
      <c r="K850" s="1238"/>
    </row>
    <row r="851" s="390" customFormat="1" ht="15.75">
      <c r="K851" s="1238"/>
    </row>
    <row r="852" s="390" customFormat="1" ht="15.75">
      <c r="K852" s="1238"/>
    </row>
    <row r="853" s="390" customFormat="1" ht="15.75">
      <c r="K853" s="1238"/>
    </row>
    <row r="854" s="390" customFormat="1" ht="15.75">
      <c r="K854" s="1238"/>
    </row>
    <row r="855" s="390" customFormat="1" ht="15.75">
      <c r="K855" s="1238"/>
    </row>
    <row r="856" s="390" customFormat="1" ht="15.75">
      <c r="K856" s="1238"/>
    </row>
    <row r="857" s="390" customFormat="1" ht="15.75">
      <c r="K857" s="1238"/>
    </row>
    <row r="858" s="390" customFormat="1" ht="15.75">
      <c r="K858" s="1238"/>
    </row>
    <row r="859" s="390" customFormat="1" ht="15.75">
      <c r="K859" s="1238"/>
    </row>
    <row r="860" s="390" customFormat="1" ht="15.75">
      <c r="K860" s="1238"/>
    </row>
    <row r="861" s="390" customFormat="1" ht="15.75">
      <c r="K861" s="1238"/>
    </row>
    <row r="862" s="390" customFormat="1" ht="15.75">
      <c r="K862" s="1238"/>
    </row>
    <row r="863" s="390" customFormat="1" ht="15.75">
      <c r="K863" s="1238"/>
    </row>
    <row r="864" s="390" customFormat="1" ht="15.75">
      <c r="K864" s="1238"/>
    </row>
    <row r="865" s="390" customFormat="1" ht="15.75">
      <c r="K865" s="1238"/>
    </row>
    <row r="866" s="390" customFormat="1" ht="15.75">
      <c r="K866" s="1238"/>
    </row>
    <row r="867" s="390" customFormat="1" ht="15.75">
      <c r="K867" s="1238"/>
    </row>
    <row r="868" s="390" customFormat="1" ht="15.75">
      <c r="K868" s="1238"/>
    </row>
    <row r="869" s="390" customFormat="1" ht="15.75">
      <c r="K869" s="1238"/>
    </row>
    <row r="870" s="390" customFormat="1" ht="15.75">
      <c r="K870" s="1238"/>
    </row>
    <row r="871" s="390" customFormat="1" ht="15.75">
      <c r="K871" s="1238"/>
    </row>
    <row r="872" s="390" customFormat="1" ht="15.75">
      <c r="K872" s="1238"/>
    </row>
    <row r="873" s="390" customFormat="1" ht="15.75">
      <c r="K873" s="1238"/>
    </row>
    <row r="874" s="390" customFormat="1" ht="15.75">
      <c r="K874" s="1238"/>
    </row>
    <row r="875" s="390" customFormat="1" ht="15.75">
      <c r="K875" s="1238"/>
    </row>
    <row r="876" s="390" customFormat="1" ht="15.75">
      <c r="K876" s="1238"/>
    </row>
    <row r="877" s="390" customFormat="1" ht="15.75">
      <c r="K877" s="1238"/>
    </row>
    <row r="878" s="390" customFormat="1" ht="15.75">
      <c r="K878" s="1238"/>
    </row>
    <row r="879" s="390" customFormat="1" ht="15.75">
      <c r="K879" s="1238"/>
    </row>
    <row r="880" s="390" customFormat="1" ht="15.75">
      <c r="K880" s="1238"/>
    </row>
    <row r="881" s="390" customFormat="1" ht="15.75">
      <c r="K881" s="1238"/>
    </row>
    <row r="882" s="390" customFormat="1" ht="15.75">
      <c r="K882" s="1238"/>
    </row>
    <row r="883" s="390" customFormat="1" ht="15.75">
      <c r="K883" s="1238"/>
    </row>
    <row r="884" s="390" customFormat="1" ht="15.75">
      <c r="K884" s="1238"/>
    </row>
    <row r="885" s="390" customFormat="1" ht="15.75">
      <c r="K885" s="1238"/>
    </row>
    <row r="886" s="390" customFormat="1" ht="15.75">
      <c r="K886" s="1238"/>
    </row>
    <row r="887" s="390" customFormat="1" ht="15.75">
      <c r="K887" s="1238"/>
    </row>
    <row r="888" s="390" customFormat="1" ht="15.75">
      <c r="K888" s="1238"/>
    </row>
    <row r="889" s="390" customFormat="1" ht="15.75">
      <c r="K889" s="1238"/>
    </row>
    <row r="890" s="390" customFormat="1" ht="15.75">
      <c r="K890" s="1238"/>
    </row>
    <row r="891" s="390" customFormat="1" ht="15.75">
      <c r="K891" s="1238"/>
    </row>
    <row r="892" s="390" customFormat="1" ht="15.75">
      <c r="K892" s="1238"/>
    </row>
    <row r="893" s="390" customFormat="1" ht="15.75">
      <c r="K893" s="1238"/>
    </row>
    <row r="894" s="390" customFormat="1" ht="15.75">
      <c r="K894" s="1238"/>
    </row>
    <row r="895" s="390" customFormat="1" ht="15.75">
      <c r="K895" s="1238"/>
    </row>
    <row r="896" s="390" customFormat="1" ht="15.75">
      <c r="K896" s="1238"/>
    </row>
    <row r="897" s="390" customFormat="1" ht="15.75">
      <c r="K897" s="1238"/>
    </row>
    <row r="898" s="390" customFormat="1" ht="15.75">
      <c r="K898" s="1238"/>
    </row>
    <row r="899" s="390" customFormat="1" ht="15.75">
      <c r="K899" s="1238"/>
    </row>
    <row r="900" s="390" customFormat="1" ht="15.75">
      <c r="K900" s="1238"/>
    </row>
    <row r="901" s="390" customFormat="1" ht="15.75">
      <c r="K901" s="1238"/>
    </row>
    <row r="902" s="390" customFormat="1" ht="15.75">
      <c r="K902" s="1238"/>
    </row>
    <row r="903" s="390" customFormat="1" ht="15.75">
      <c r="K903" s="1238"/>
    </row>
    <row r="904" s="390" customFormat="1" ht="15.75">
      <c r="K904" s="1238"/>
    </row>
    <row r="905" s="390" customFormat="1" ht="15.75">
      <c r="K905" s="1238"/>
    </row>
    <row r="906" s="390" customFormat="1" ht="15.75">
      <c r="K906" s="1238"/>
    </row>
    <row r="907" s="390" customFormat="1" ht="15.75">
      <c r="K907" s="1238"/>
    </row>
    <row r="908" s="390" customFormat="1" ht="15.75">
      <c r="K908" s="1238"/>
    </row>
    <row r="909" s="390" customFormat="1" ht="15.75">
      <c r="K909" s="1238"/>
    </row>
    <row r="910" s="390" customFormat="1" ht="15.75">
      <c r="K910" s="1238"/>
    </row>
    <row r="911" s="390" customFormat="1" ht="15.75">
      <c r="K911" s="1238"/>
    </row>
    <row r="912" s="390" customFormat="1" ht="15.75">
      <c r="K912" s="1238"/>
    </row>
    <row r="913" s="390" customFormat="1" ht="15.75">
      <c r="K913" s="1238"/>
    </row>
    <row r="914" s="390" customFormat="1" ht="15.75">
      <c r="K914" s="1238"/>
    </row>
    <row r="915" s="390" customFormat="1" ht="15.75">
      <c r="K915" s="1238"/>
    </row>
    <row r="916" s="390" customFormat="1" ht="15.75">
      <c r="K916" s="1238"/>
    </row>
    <row r="917" s="390" customFormat="1" ht="15.75">
      <c r="K917" s="1238"/>
    </row>
    <row r="918" s="390" customFormat="1" ht="15.75">
      <c r="K918" s="1238"/>
    </row>
    <row r="919" s="390" customFormat="1" ht="15.75">
      <c r="K919" s="1238"/>
    </row>
    <row r="920" s="390" customFormat="1" ht="15.75">
      <c r="K920" s="1238"/>
    </row>
    <row r="921" s="390" customFormat="1" ht="15.75">
      <c r="K921" s="1238"/>
    </row>
    <row r="922" s="390" customFormat="1" ht="15.75">
      <c r="K922" s="1238"/>
    </row>
    <row r="923" s="390" customFormat="1" ht="15.75">
      <c r="K923" s="1238"/>
    </row>
    <row r="924" s="390" customFormat="1" ht="15.75">
      <c r="K924" s="1238"/>
    </row>
    <row r="925" s="390" customFormat="1" ht="15.75">
      <c r="K925" s="1238"/>
    </row>
    <row r="926" s="390" customFormat="1" ht="15.75">
      <c r="K926" s="1238"/>
    </row>
    <row r="927" s="390" customFormat="1" ht="15.75">
      <c r="K927" s="1238"/>
    </row>
    <row r="928" s="390" customFormat="1" ht="15.75">
      <c r="K928" s="1238"/>
    </row>
    <row r="929" s="390" customFormat="1" ht="15.75">
      <c r="K929" s="1238"/>
    </row>
    <row r="930" s="390" customFormat="1" ht="15.75">
      <c r="K930" s="1238"/>
    </row>
    <row r="931" s="390" customFormat="1" ht="15.75">
      <c r="K931" s="1238"/>
    </row>
    <row r="932" s="390" customFormat="1" ht="15.75">
      <c r="K932" s="1238"/>
    </row>
    <row r="933" s="390" customFormat="1" ht="15.75">
      <c r="K933" s="1238"/>
    </row>
    <row r="934" s="390" customFormat="1" ht="15.75">
      <c r="K934" s="1238"/>
    </row>
    <row r="935" s="390" customFormat="1" ht="15.75">
      <c r="K935" s="1238"/>
    </row>
    <row r="936" s="390" customFormat="1" ht="15.75">
      <c r="K936" s="1238"/>
    </row>
    <row r="937" s="390" customFormat="1" ht="15.75">
      <c r="K937" s="1238"/>
    </row>
    <row r="938" s="390" customFormat="1" ht="15.75">
      <c r="K938" s="1238"/>
    </row>
    <row r="939" s="390" customFormat="1" ht="15.75">
      <c r="K939" s="1238"/>
    </row>
    <row r="940" s="390" customFormat="1" ht="15.75">
      <c r="K940" s="1238"/>
    </row>
    <row r="941" s="390" customFormat="1" ht="15.75">
      <c r="K941" s="1238"/>
    </row>
    <row r="942" s="390" customFormat="1" ht="15.75">
      <c r="K942" s="1238"/>
    </row>
    <row r="943" s="390" customFormat="1" ht="15.75">
      <c r="K943" s="1238"/>
    </row>
    <row r="944" s="390" customFormat="1" ht="15.75">
      <c r="K944" s="1238"/>
    </row>
    <row r="945" s="390" customFormat="1" ht="15.75">
      <c r="K945" s="1238"/>
    </row>
    <row r="946" s="390" customFormat="1" ht="15.75">
      <c r="K946" s="1238"/>
    </row>
    <row r="947" s="390" customFormat="1" ht="15.75">
      <c r="K947" s="1238"/>
    </row>
    <row r="948" s="390" customFormat="1" ht="15.75">
      <c r="K948" s="1238"/>
    </row>
    <row r="949" s="390" customFormat="1" ht="15.75">
      <c r="K949" s="1238"/>
    </row>
    <row r="950" s="390" customFormat="1" ht="15.75">
      <c r="K950" s="1238"/>
    </row>
    <row r="951" s="390" customFormat="1" ht="15.75">
      <c r="K951" s="1238"/>
    </row>
    <row r="952" s="390" customFormat="1" ht="15.75">
      <c r="K952" s="1238"/>
    </row>
    <row r="953" s="390" customFormat="1" ht="15.75">
      <c r="K953" s="1238"/>
    </row>
    <row r="954" s="390" customFormat="1" ht="15.75">
      <c r="K954" s="1238"/>
    </row>
    <row r="955" s="390" customFormat="1" ht="15.75">
      <c r="K955" s="1238"/>
    </row>
    <row r="956" s="390" customFormat="1" ht="15.75">
      <c r="K956" s="1238"/>
    </row>
    <row r="957" s="390" customFormat="1" ht="15.75">
      <c r="K957" s="1238"/>
    </row>
    <row r="958" s="390" customFormat="1" ht="15.75">
      <c r="K958" s="1238"/>
    </row>
    <row r="959" s="390" customFormat="1" ht="15.75">
      <c r="K959" s="1238"/>
    </row>
    <row r="960" s="390" customFormat="1" ht="15.75">
      <c r="K960" s="1238"/>
    </row>
    <row r="961" s="390" customFormat="1" ht="15.75">
      <c r="K961" s="1238"/>
    </row>
    <row r="962" s="390" customFormat="1" ht="15.75">
      <c r="K962" s="1238"/>
    </row>
    <row r="963" s="390" customFormat="1" ht="15.75">
      <c r="K963" s="1238"/>
    </row>
    <row r="964" s="390" customFormat="1" ht="15.75">
      <c r="K964" s="1238"/>
    </row>
    <row r="965" s="390" customFormat="1" ht="15.75">
      <c r="K965" s="1238"/>
    </row>
    <row r="966" s="390" customFormat="1" ht="15.75">
      <c r="K966" s="1238"/>
    </row>
    <row r="967" s="390" customFormat="1" ht="15.75">
      <c r="K967" s="1238"/>
    </row>
    <row r="968" s="390" customFormat="1" ht="15.75">
      <c r="K968" s="1238"/>
    </row>
    <row r="969" s="390" customFormat="1" ht="15.75">
      <c r="K969" s="1238"/>
    </row>
    <row r="970" s="390" customFormat="1" ht="15.75">
      <c r="K970" s="1238"/>
    </row>
    <row r="971" s="390" customFormat="1" ht="15.75">
      <c r="K971" s="1238"/>
    </row>
    <row r="972" s="390" customFormat="1" ht="15.75">
      <c r="K972" s="1238"/>
    </row>
    <row r="973" s="390" customFormat="1" ht="15.75">
      <c r="K973" s="1238"/>
    </row>
    <row r="974" s="390" customFormat="1" ht="15.75">
      <c r="K974" s="1238"/>
    </row>
    <row r="975" s="390" customFormat="1" ht="15.75">
      <c r="K975" s="1238"/>
    </row>
    <row r="976" s="390" customFormat="1" ht="15.75">
      <c r="K976" s="1238"/>
    </row>
    <row r="977" s="390" customFormat="1" ht="15.75">
      <c r="K977" s="1238"/>
    </row>
    <row r="978" s="390" customFormat="1" ht="15.75">
      <c r="K978" s="1238"/>
    </row>
    <row r="979" s="390" customFormat="1" ht="15.75">
      <c r="K979" s="1238"/>
    </row>
    <row r="980" s="390" customFormat="1" ht="15.75">
      <c r="K980" s="1238"/>
    </row>
    <row r="981" s="390" customFormat="1" ht="15.75">
      <c r="K981" s="1238"/>
    </row>
    <row r="982" s="390" customFormat="1" ht="15.75">
      <c r="K982" s="1238"/>
    </row>
    <row r="983" s="390" customFormat="1" ht="15.75">
      <c r="K983" s="1238"/>
    </row>
    <row r="984" s="390" customFormat="1" ht="15.75">
      <c r="K984" s="1238"/>
    </row>
    <row r="985" s="390" customFormat="1" ht="15.75">
      <c r="K985" s="1238"/>
    </row>
    <row r="986" s="390" customFormat="1" ht="15.75">
      <c r="K986" s="1238"/>
    </row>
    <row r="987" s="390" customFormat="1" ht="15.75">
      <c r="K987" s="1238"/>
    </row>
    <row r="988" s="390" customFormat="1" ht="15.75">
      <c r="K988" s="1238"/>
    </row>
    <row r="989" s="390" customFormat="1" ht="15.75">
      <c r="K989" s="1238"/>
    </row>
    <row r="990" s="390" customFormat="1" ht="15.75">
      <c r="K990" s="1238"/>
    </row>
    <row r="991" s="390" customFormat="1" ht="15.75">
      <c r="K991" s="1238"/>
    </row>
    <row r="992" s="390" customFormat="1" ht="15.75">
      <c r="K992" s="1238"/>
    </row>
    <row r="993" s="390" customFormat="1" ht="15.75">
      <c r="K993" s="1238"/>
    </row>
    <row r="994" s="390" customFormat="1" ht="15.75">
      <c r="K994" s="1238"/>
    </row>
    <row r="995" s="390" customFormat="1" ht="15.75">
      <c r="K995" s="1238"/>
    </row>
    <row r="996" s="390" customFormat="1" ht="15.75">
      <c r="K996" s="1238"/>
    </row>
    <row r="997" s="390" customFormat="1" ht="15.75">
      <c r="K997" s="1238"/>
    </row>
    <row r="998" s="390" customFormat="1" ht="15.75">
      <c r="K998" s="1238"/>
    </row>
    <row r="999" s="390" customFormat="1" ht="15.75">
      <c r="K999" s="1238"/>
    </row>
    <row r="1000" s="390" customFormat="1" ht="15.75">
      <c r="K1000" s="1238"/>
    </row>
    <row r="1001" s="390" customFormat="1" ht="15.75">
      <c r="K1001" s="1238"/>
    </row>
    <row r="1002" s="390" customFormat="1" ht="15.75">
      <c r="K1002" s="1238"/>
    </row>
    <row r="1003" s="390" customFormat="1" ht="15.75">
      <c r="K1003" s="1238"/>
    </row>
    <row r="1004" s="390" customFormat="1" ht="15.75">
      <c r="K1004" s="1238"/>
    </row>
    <row r="1005" s="390" customFormat="1" ht="15.75">
      <c r="K1005" s="1238"/>
    </row>
    <row r="1006" s="390" customFormat="1" ht="15.75">
      <c r="K1006" s="1238"/>
    </row>
    <row r="1007" s="390" customFormat="1" ht="15.75">
      <c r="K1007" s="1238"/>
    </row>
    <row r="1008" s="390" customFormat="1" ht="15.75">
      <c r="K1008" s="1238"/>
    </row>
    <row r="1009" s="390" customFormat="1" ht="15.75">
      <c r="K1009" s="1238"/>
    </row>
    <row r="1010" s="390" customFormat="1" ht="15.75">
      <c r="K1010" s="1238"/>
    </row>
    <row r="1011" s="390" customFormat="1" ht="15.75">
      <c r="K1011" s="1238"/>
    </row>
    <row r="1012" s="390" customFormat="1" ht="15.75">
      <c r="K1012" s="1238"/>
    </row>
    <row r="1013" s="390" customFormat="1" ht="15.75">
      <c r="K1013" s="1238"/>
    </row>
    <row r="1014" s="390" customFormat="1" ht="15.75">
      <c r="K1014" s="1238"/>
    </row>
    <row r="1015" s="390" customFormat="1" ht="15.75">
      <c r="K1015" s="1238"/>
    </row>
    <row r="1016" s="390" customFormat="1" ht="15.75">
      <c r="K1016" s="1238"/>
    </row>
    <row r="1017" s="390" customFormat="1" ht="15.75">
      <c r="K1017" s="1238"/>
    </row>
    <row r="1018" s="390" customFormat="1" ht="15.75">
      <c r="K1018" s="1238"/>
    </row>
    <row r="1019" s="390" customFormat="1" ht="15.75">
      <c r="K1019" s="1238"/>
    </row>
    <row r="1020" s="390" customFormat="1" ht="15.75">
      <c r="K1020" s="1238"/>
    </row>
    <row r="1021" s="390" customFormat="1" ht="15.75">
      <c r="K1021" s="1238"/>
    </row>
    <row r="1022" s="390" customFormat="1" ht="15.75">
      <c r="K1022" s="1238"/>
    </row>
    <row r="1023" s="390" customFormat="1" ht="15.75">
      <c r="K1023" s="1238"/>
    </row>
    <row r="1024" s="390" customFormat="1" ht="15.75">
      <c r="K1024" s="1238"/>
    </row>
    <row r="1025" s="390" customFormat="1" ht="15.75">
      <c r="K1025" s="1238"/>
    </row>
    <row r="1026" s="390" customFormat="1" ht="15.75">
      <c r="K1026" s="1238"/>
    </row>
    <row r="1027" s="390" customFormat="1" ht="15.75">
      <c r="K1027" s="1238"/>
    </row>
    <row r="1028" s="390" customFormat="1" ht="15.75">
      <c r="K1028" s="1238"/>
    </row>
    <row r="1029" s="390" customFormat="1" ht="15.75">
      <c r="K1029" s="1238"/>
    </row>
    <row r="1030" s="390" customFormat="1" ht="15.75">
      <c r="K1030" s="1238"/>
    </row>
    <row r="1031" s="390" customFormat="1" ht="15.75">
      <c r="K1031" s="1238"/>
    </row>
    <row r="1032" s="390" customFormat="1" ht="15.75">
      <c r="K1032" s="1238"/>
    </row>
    <row r="1033" s="390" customFormat="1" ht="15.75">
      <c r="K1033" s="1238"/>
    </row>
    <row r="1034" s="390" customFormat="1" ht="15.75">
      <c r="K1034" s="1238"/>
    </row>
    <row r="1035" s="390" customFormat="1" ht="15.75">
      <c r="K1035" s="1238"/>
    </row>
    <row r="1036" s="390" customFormat="1" ht="15.75">
      <c r="K1036" s="1238"/>
    </row>
    <row r="1037" s="390" customFormat="1" ht="15.75">
      <c r="K1037" s="1238"/>
    </row>
    <row r="1038" s="390" customFormat="1" ht="15.75">
      <c r="K1038" s="1238"/>
    </row>
    <row r="1039" s="390" customFormat="1" ht="15.75">
      <c r="K1039" s="1238"/>
    </row>
    <row r="1040" s="390" customFormat="1" ht="15.75">
      <c r="K1040" s="1238"/>
    </row>
    <row r="1041" s="390" customFormat="1" ht="15.75">
      <c r="K1041" s="1238"/>
    </row>
    <row r="1042" s="390" customFormat="1" ht="15.75">
      <c r="K1042" s="1238"/>
    </row>
    <row r="1043" s="390" customFormat="1" ht="15.75">
      <c r="K1043" s="1238"/>
    </row>
    <row r="1044" s="390" customFormat="1" ht="15.75">
      <c r="K1044" s="1238"/>
    </row>
    <row r="1045" s="390" customFormat="1" ht="15.75">
      <c r="K1045" s="1238"/>
    </row>
    <row r="1046" s="390" customFormat="1" ht="15.75">
      <c r="K1046" s="1238"/>
    </row>
    <row r="1047" s="390" customFormat="1" ht="15.75">
      <c r="K1047" s="1238"/>
    </row>
    <row r="1048" s="390" customFormat="1" ht="15.75">
      <c r="K1048" s="1238"/>
    </row>
    <row r="1049" s="390" customFormat="1" ht="15.75">
      <c r="K1049" s="1238"/>
    </row>
    <row r="1050" s="390" customFormat="1" ht="15.75">
      <c r="K1050" s="1238"/>
    </row>
    <row r="1051" s="390" customFormat="1" ht="15.75">
      <c r="K1051" s="1238"/>
    </row>
    <row r="1052" s="390" customFormat="1" ht="15.75">
      <c r="K1052" s="1238"/>
    </row>
    <row r="1053" s="390" customFormat="1" ht="15.75">
      <c r="K1053" s="1238"/>
    </row>
    <row r="1054" s="390" customFormat="1" ht="15.75">
      <c r="K1054" s="1238"/>
    </row>
    <row r="1055" s="390" customFormat="1" ht="15.75">
      <c r="K1055" s="1238"/>
    </row>
    <row r="1056" s="390" customFormat="1" ht="15.75">
      <c r="K1056" s="1238"/>
    </row>
    <row r="1057" s="390" customFormat="1" ht="15.75">
      <c r="K1057" s="1238"/>
    </row>
    <row r="1058" s="390" customFormat="1" ht="15.75">
      <c r="K1058" s="1238"/>
    </row>
    <row r="1059" s="390" customFormat="1" ht="15.75">
      <c r="K1059" s="1238"/>
    </row>
    <row r="1060" s="390" customFormat="1" ht="15.75">
      <c r="K1060" s="1238"/>
    </row>
    <row r="1061" s="390" customFormat="1" ht="15.75">
      <c r="K1061" s="1238"/>
    </row>
    <row r="1062" s="390" customFormat="1" ht="15.75">
      <c r="K1062" s="1238"/>
    </row>
    <row r="1063" s="390" customFormat="1" ht="15.75">
      <c r="K1063" s="1238"/>
    </row>
    <row r="1064" s="390" customFormat="1" ht="15.75">
      <c r="K1064" s="1238"/>
    </row>
    <row r="1065" s="390" customFormat="1" ht="15.75">
      <c r="K1065" s="1238"/>
    </row>
    <row r="1066" s="390" customFormat="1" ht="15.75">
      <c r="K1066" s="1238"/>
    </row>
    <row r="1067" s="390" customFormat="1" ht="15.75">
      <c r="K1067" s="1238"/>
    </row>
    <row r="1068" s="390" customFormat="1" ht="15.75">
      <c r="K1068" s="1238"/>
    </row>
    <row r="1069" s="390" customFormat="1" ht="15.75">
      <c r="K1069" s="1238"/>
    </row>
    <row r="1070" s="390" customFormat="1" ht="15.75">
      <c r="K1070" s="1238"/>
    </row>
    <row r="1071" s="390" customFormat="1" ht="15.75">
      <c r="K1071" s="1238"/>
    </row>
    <row r="1072" s="390" customFormat="1" ht="15.75">
      <c r="K1072" s="1238"/>
    </row>
    <row r="1073" s="390" customFormat="1" ht="15.75">
      <c r="K1073" s="1238"/>
    </row>
    <row r="1074" s="390" customFormat="1" ht="15.75">
      <c r="K1074" s="1238"/>
    </row>
    <row r="1075" s="390" customFormat="1" ht="15.75">
      <c r="K1075" s="1238"/>
    </row>
    <row r="1076" s="390" customFormat="1" ht="15.75">
      <c r="K1076" s="1238"/>
    </row>
    <row r="1077" s="390" customFormat="1" ht="15.75">
      <c r="K1077" s="1238"/>
    </row>
    <row r="1078" s="390" customFormat="1" ht="15.75">
      <c r="K1078" s="1238"/>
    </row>
    <row r="1079" s="390" customFormat="1" ht="15.75">
      <c r="K1079" s="1238"/>
    </row>
    <row r="1080" s="390" customFormat="1" ht="15.75">
      <c r="K1080" s="1238"/>
    </row>
    <row r="1081" s="390" customFormat="1" ht="15.75">
      <c r="K1081" s="1238"/>
    </row>
    <row r="1082" s="390" customFormat="1" ht="15.75">
      <c r="K1082" s="1238"/>
    </row>
    <row r="1083" s="390" customFormat="1" ht="15.75">
      <c r="K1083" s="1238"/>
    </row>
    <row r="1084" s="390" customFormat="1" ht="15.75">
      <c r="K1084" s="1238"/>
    </row>
    <row r="1085" s="390" customFormat="1" ht="15.75">
      <c r="K1085" s="1238"/>
    </row>
    <row r="1086" s="390" customFormat="1" ht="15.75">
      <c r="K1086" s="1238"/>
    </row>
    <row r="1087" s="390" customFormat="1" ht="15.75">
      <c r="K1087" s="1238"/>
    </row>
    <row r="1088" s="390" customFormat="1" ht="15.75">
      <c r="K1088" s="1238"/>
    </row>
    <row r="1089" s="390" customFormat="1" ht="15.75">
      <c r="K1089" s="1238"/>
    </row>
    <row r="1090" s="390" customFormat="1" ht="15.75">
      <c r="K1090" s="1238"/>
    </row>
    <row r="1091" s="390" customFormat="1" ht="15.75">
      <c r="K1091" s="1238"/>
    </row>
    <row r="1092" s="390" customFormat="1" ht="15.75">
      <c r="K1092" s="1238"/>
    </row>
    <row r="1093" s="390" customFormat="1" ht="15.75">
      <c r="K1093" s="1238"/>
    </row>
    <row r="1094" s="390" customFormat="1" ht="15.75">
      <c r="K1094" s="1238"/>
    </row>
    <row r="1095" s="390" customFormat="1" ht="15.75">
      <c r="K1095" s="1238"/>
    </row>
    <row r="1096" s="390" customFormat="1" ht="15.75">
      <c r="K1096" s="1238"/>
    </row>
    <row r="1097" s="390" customFormat="1" ht="15.75">
      <c r="K1097" s="1238"/>
    </row>
    <row r="1098" s="390" customFormat="1" ht="15.75">
      <c r="K1098" s="1238"/>
    </row>
    <row r="1099" s="390" customFormat="1" ht="15.75">
      <c r="K1099" s="1238"/>
    </row>
    <row r="1100" s="390" customFormat="1" ht="15.75">
      <c r="K1100" s="1238"/>
    </row>
    <row r="1101" s="390" customFormat="1" ht="15.75">
      <c r="K1101" s="1238"/>
    </row>
    <row r="1102" s="390" customFormat="1" ht="15.75">
      <c r="K1102" s="1238"/>
    </row>
    <row r="1103" s="390" customFormat="1" ht="15.75">
      <c r="K1103" s="1238"/>
    </row>
    <row r="1104" s="390" customFormat="1" ht="15.75">
      <c r="K1104" s="1238"/>
    </row>
    <row r="1105" s="390" customFormat="1" ht="15.75">
      <c r="K1105" s="1238"/>
    </row>
    <row r="1106" s="390" customFormat="1" ht="15.75">
      <c r="K1106" s="1238"/>
    </row>
    <row r="1107" s="390" customFormat="1" ht="15.75">
      <c r="K1107" s="1238"/>
    </row>
    <row r="1108" s="390" customFormat="1" ht="15.75">
      <c r="K1108" s="1238"/>
    </row>
    <row r="1109" s="390" customFormat="1" ht="15.75">
      <c r="K1109" s="1238"/>
    </row>
    <row r="1110" s="390" customFormat="1" ht="15.75">
      <c r="K1110" s="1238"/>
    </row>
    <row r="1111" s="390" customFormat="1" ht="15.75">
      <c r="K1111" s="1238"/>
    </row>
    <row r="1112" s="390" customFormat="1" ht="15.75">
      <c r="K1112" s="1238"/>
    </row>
    <row r="1113" s="390" customFormat="1" ht="15.75">
      <c r="K1113" s="1238"/>
    </row>
    <row r="1114" s="390" customFormat="1" ht="15.75">
      <c r="K1114" s="1238"/>
    </row>
    <row r="1115" s="390" customFormat="1" ht="15.75">
      <c r="K1115" s="1238"/>
    </row>
    <row r="1116" s="390" customFormat="1" ht="15.75">
      <c r="K1116" s="1238"/>
    </row>
    <row r="1117" s="390" customFormat="1" ht="15.75">
      <c r="K1117" s="1238"/>
    </row>
    <row r="1118" s="390" customFormat="1" ht="15.75">
      <c r="K1118" s="1238"/>
    </row>
    <row r="1119" s="390" customFormat="1" ht="15.75">
      <c r="K1119" s="1238"/>
    </row>
    <row r="1120" s="390" customFormat="1" ht="15.75">
      <c r="K1120" s="1238"/>
    </row>
    <row r="1121" s="390" customFormat="1" ht="15.75">
      <c r="K1121" s="1238"/>
    </row>
    <row r="1122" s="390" customFormat="1" ht="15.75">
      <c r="K1122" s="1238"/>
    </row>
    <row r="1123" s="390" customFormat="1" ht="15.75">
      <c r="K1123" s="1238"/>
    </row>
    <row r="1124" s="390" customFormat="1" ht="15.75">
      <c r="K1124" s="1238"/>
    </row>
    <row r="1125" s="390" customFormat="1" ht="15.75">
      <c r="K1125" s="1238"/>
    </row>
    <row r="1126" s="390" customFormat="1" ht="15.75">
      <c r="K1126" s="1238"/>
    </row>
    <row r="1127" s="390" customFormat="1" ht="15.75">
      <c r="K1127" s="1238"/>
    </row>
    <row r="1128" s="390" customFormat="1" ht="15.75">
      <c r="K1128" s="1238"/>
    </row>
    <row r="1129" s="390" customFormat="1" ht="15.75">
      <c r="K1129" s="1238"/>
    </row>
    <row r="1130" s="390" customFormat="1" ht="15.75">
      <c r="K1130" s="1238"/>
    </row>
    <row r="1131" s="390" customFormat="1" ht="15.75">
      <c r="K1131" s="1238"/>
    </row>
    <row r="1132" s="390" customFormat="1" ht="15.75">
      <c r="K1132" s="1238"/>
    </row>
    <row r="1133" s="390" customFormat="1" ht="15.75">
      <c r="K1133" s="1238"/>
    </row>
    <row r="1134" s="390" customFormat="1" ht="15.75">
      <c r="K1134" s="1238"/>
    </row>
    <row r="1135" s="390" customFormat="1" ht="15.75">
      <c r="K1135" s="1238"/>
    </row>
    <row r="1136" s="390" customFormat="1" ht="15.75">
      <c r="K1136" s="1238"/>
    </row>
    <row r="1137" s="390" customFormat="1" ht="15.75">
      <c r="K1137" s="1238"/>
    </row>
    <row r="1138" s="390" customFormat="1" ht="15.75">
      <c r="K1138" s="1238"/>
    </row>
    <row r="1139" s="390" customFormat="1" ht="15.75">
      <c r="K1139" s="1238"/>
    </row>
    <row r="1140" s="390" customFormat="1" ht="15.75">
      <c r="K1140" s="1238"/>
    </row>
    <row r="1141" s="390" customFormat="1" ht="15.75">
      <c r="K1141" s="1238"/>
    </row>
    <row r="1142" s="390" customFormat="1" ht="15.75">
      <c r="K1142" s="1238"/>
    </row>
    <row r="1143" s="390" customFormat="1" ht="15.75">
      <c r="K1143" s="1238"/>
    </row>
    <row r="1144" s="390" customFormat="1" ht="15.75">
      <c r="K1144" s="1238"/>
    </row>
    <row r="1145" s="390" customFormat="1" ht="15.75">
      <c r="K1145" s="1238"/>
    </row>
    <row r="1146" s="390" customFormat="1" ht="15.75">
      <c r="K1146" s="1238"/>
    </row>
    <row r="1147" s="390" customFormat="1" ht="15.75">
      <c r="K1147" s="1238"/>
    </row>
    <row r="1148" s="390" customFormat="1" ht="15.75">
      <c r="K1148" s="1238"/>
    </row>
    <row r="1149" s="390" customFormat="1" ht="15.75">
      <c r="K1149" s="1238"/>
    </row>
    <row r="1150" s="390" customFormat="1" ht="15.75">
      <c r="K1150" s="1238"/>
    </row>
    <row r="1151" s="390" customFormat="1" ht="15.75">
      <c r="K1151" s="1238"/>
    </row>
    <row r="1152" s="390" customFormat="1" ht="15.75">
      <c r="K1152" s="1238"/>
    </row>
    <row r="1153" s="390" customFormat="1" ht="15.75">
      <c r="K1153" s="1238"/>
    </row>
    <row r="1154" s="390" customFormat="1" ht="15.75">
      <c r="K1154" s="1238"/>
    </row>
    <row r="1155" s="390" customFormat="1" ht="15.75">
      <c r="K1155" s="1238"/>
    </row>
    <row r="1156" s="390" customFormat="1" ht="15.75">
      <c r="K1156" s="1238"/>
    </row>
    <row r="1157" s="390" customFormat="1" ht="15.75">
      <c r="K1157" s="1238"/>
    </row>
    <row r="1158" s="390" customFormat="1" ht="15.75">
      <c r="K1158" s="1238"/>
    </row>
    <row r="1159" s="390" customFormat="1" ht="15.75">
      <c r="K1159" s="1238"/>
    </row>
    <row r="1160" s="390" customFormat="1" ht="15.75">
      <c r="K1160" s="1238"/>
    </row>
    <row r="1161" s="390" customFormat="1" ht="15.75">
      <c r="K1161" s="1238"/>
    </row>
    <row r="1162" s="390" customFormat="1" ht="15.75">
      <c r="K1162" s="1238"/>
    </row>
    <row r="1163" s="390" customFormat="1" ht="15.75">
      <c r="K1163" s="1238"/>
    </row>
    <row r="1164" s="390" customFormat="1" ht="15.75">
      <c r="K1164" s="1238"/>
    </row>
    <row r="1165" s="390" customFormat="1" ht="15.75">
      <c r="K1165" s="1238"/>
    </row>
    <row r="1166" s="390" customFormat="1" ht="15.75">
      <c r="K1166" s="1238"/>
    </row>
    <row r="1167" s="390" customFormat="1" ht="15.75">
      <c r="K1167" s="1238"/>
    </row>
    <row r="1168" s="390" customFormat="1" ht="15.75">
      <c r="K1168" s="1238"/>
    </row>
    <row r="1169" s="390" customFormat="1" ht="15.75">
      <c r="K1169" s="1238"/>
    </row>
    <row r="1170" s="390" customFormat="1" ht="15.75">
      <c r="K1170" s="1238"/>
    </row>
    <row r="1171" s="390" customFormat="1" ht="15.75">
      <c r="K1171" s="1238"/>
    </row>
    <row r="1172" s="390" customFormat="1" ht="15.75">
      <c r="K1172" s="1238"/>
    </row>
    <row r="1173" s="390" customFormat="1" ht="15.75">
      <c r="K1173" s="1238"/>
    </row>
    <row r="1174" s="390" customFormat="1" ht="15.75">
      <c r="K1174" s="1238"/>
    </row>
    <row r="1175" s="390" customFormat="1" ht="15.75">
      <c r="K1175" s="1238"/>
    </row>
    <row r="1176" s="390" customFormat="1" ht="15.75">
      <c r="K1176" s="1238"/>
    </row>
    <row r="1177" s="390" customFormat="1" ht="15.75">
      <c r="K1177" s="1238"/>
    </row>
    <row r="1178" s="390" customFormat="1" ht="15.75">
      <c r="K1178" s="1238"/>
    </row>
    <row r="1179" s="390" customFormat="1" ht="15.75">
      <c r="K1179" s="1238"/>
    </row>
    <row r="1180" s="390" customFormat="1" ht="15.75">
      <c r="K1180" s="1238"/>
    </row>
    <row r="1181" s="390" customFormat="1" ht="15.75">
      <c r="K1181" s="1238"/>
    </row>
    <row r="1182" s="390" customFormat="1" ht="15.75">
      <c r="K1182" s="1238"/>
    </row>
    <row r="1183" s="390" customFormat="1" ht="15.75">
      <c r="K1183" s="1238"/>
    </row>
    <row r="1184" s="390" customFormat="1" ht="15.75">
      <c r="K1184" s="1238"/>
    </row>
    <row r="1185" s="390" customFormat="1" ht="15.75">
      <c r="K1185" s="1238"/>
    </row>
    <row r="1186" s="390" customFormat="1" ht="15.75">
      <c r="K1186" s="1238"/>
    </row>
    <row r="1187" s="390" customFormat="1" ht="15.75">
      <c r="K1187" s="1238"/>
    </row>
    <row r="1188" s="390" customFormat="1" ht="15.75">
      <c r="K1188" s="1238"/>
    </row>
    <row r="1189" s="390" customFormat="1" ht="15.75">
      <c r="K1189" s="1238"/>
    </row>
    <row r="1190" s="390" customFormat="1" ht="15.75">
      <c r="K1190" s="1238"/>
    </row>
    <row r="1191" s="390" customFormat="1" ht="15.75">
      <c r="K1191" s="1238"/>
    </row>
    <row r="1192" s="390" customFormat="1" ht="15.75">
      <c r="K1192" s="1238"/>
    </row>
    <row r="1193" s="390" customFormat="1" ht="15.75">
      <c r="K1193" s="1238"/>
    </row>
    <row r="1194" s="390" customFormat="1" ht="15.75">
      <c r="K1194" s="1238"/>
    </row>
    <row r="1195" s="390" customFormat="1" ht="15.75">
      <c r="K1195" s="1238"/>
    </row>
    <row r="1196" s="390" customFormat="1" ht="15.75">
      <c r="K1196" s="1238"/>
    </row>
    <row r="1197" s="390" customFormat="1" ht="15.75">
      <c r="K1197" s="1238"/>
    </row>
    <row r="1198" s="390" customFormat="1" ht="15.75">
      <c r="K1198" s="1238"/>
    </row>
    <row r="1199" s="390" customFormat="1" ht="15.75">
      <c r="K1199" s="1238"/>
    </row>
    <row r="1200" s="390" customFormat="1" ht="15.75">
      <c r="K1200" s="1238"/>
    </row>
    <row r="1201" s="390" customFormat="1" ht="15.75">
      <c r="K1201" s="1238"/>
    </row>
    <row r="1202" s="390" customFormat="1" ht="15.75">
      <c r="K1202" s="1238"/>
    </row>
    <row r="1203" s="390" customFormat="1" ht="15.75">
      <c r="K1203" s="1238"/>
    </row>
    <row r="1204" s="390" customFormat="1" ht="15.75">
      <c r="K1204" s="1238"/>
    </row>
    <row r="1205" s="390" customFormat="1" ht="15.75">
      <c r="K1205" s="1238"/>
    </row>
    <row r="1206" s="390" customFormat="1" ht="15.75">
      <c r="K1206" s="1238"/>
    </row>
    <row r="1207" s="390" customFormat="1" ht="15.75">
      <c r="K1207" s="1238"/>
    </row>
    <row r="1208" s="390" customFormat="1" ht="15.75">
      <c r="K1208" s="1238"/>
    </row>
    <row r="1209" s="390" customFormat="1" ht="15.75">
      <c r="K1209" s="1238"/>
    </row>
    <row r="1210" s="390" customFormat="1" ht="15.75">
      <c r="K1210" s="1238"/>
    </row>
    <row r="1211" s="390" customFormat="1" ht="15.75">
      <c r="K1211" s="1238"/>
    </row>
    <row r="1212" s="390" customFormat="1" ht="15.75">
      <c r="K1212" s="1238"/>
    </row>
    <row r="1213" s="390" customFormat="1" ht="15.75">
      <c r="K1213" s="1238"/>
    </row>
    <row r="1214" s="390" customFormat="1" ht="15.75">
      <c r="K1214" s="1238"/>
    </row>
    <row r="1215" s="390" customFormat="1" ht="15.75">
      <c r="K1215" s="1238"/>
    </row>
    <row r="1216" s="390" customFormat="1" ht="15.75">
      <c r="K1216" s="1238"/>
    </row>
    <row r="1217" s="390" customFormat="1" ht="15.75">
      <c r="K1217" s="1238"/>
    </row>
    <row r="1218" s="390" customFormat="1" ht="15.75">
      <c r="K1218" s="1238"/>
    </row>
    <row r="1219" s="390" customFormat="1" ht="15.75">
      <c r="K1219" s="1238"/>
    </row>
    <row r="1220" s="390" customFormat="1" ht="15.75">
      <c r="K1220" s="1238"/>
    </row>
    <row r="1221" s="390" customFormat="1" ht="15.75">
      <c r="K1221" s="1238"/>
    </row>
    <row r="1222" s="390" customFormat="1" ht="15.75">
      <c r="K1222" s="1238"/>
    </row>
    <row r="1223" s="390" customFormat="1" ht="15.75">
      <c r="K1223" s="1238"/>
    </row>
    <row r="1224" s="390" customFormat="1" ht="15.75">
      <c r="K1224" s="1238"/>
    </row>
    <row r="1225" s="390" customFormat="1" ht="15.75">
      <c r="K1225" s="1238"/>
    </row>
    <row r="1226" s="390" customFormat="1" ht="15.75">
      <c r="K1226" s="1238"/>
    </row>
    <row r="1227" s="390" customFormat="1" ht="15.75">
      <c r="K1227" s="1238"/>
    </row>
    <row r="1228" s="390" customFormat="1" ht="15.75">
      <c r="K1228" s="1238"/>
    </row>
    <row r="1229" s="390" customFormat="1" ht="15.75">
      <c r="K1229" s="1238"/>
    </row>
    <row r="1230" s="390" customFormat="1" ht="15.75">
      <c r="K1230" s="1238"/>
    </row>
    <row r="1231" s="390" customFormat="1" ht="15.75">
      <c r="K1231" s="1238"/>
    </row>
    <row r="1232" s="390" customFormat="1" ht="15.75">
      <c r="K1232" s="1238"/>
    </row>
    <row r="1233" s="390" customFormat="1" ht="15.75">
      <c r="K1233" s="1238"/>
    </row>
    <row r="1234" s="390" customFormat="1" ht="15.75">
      <c r="K1234" s="1238"/>
    </row>
    <row r="1235" s="390" customFormat="1" ht="15.75">
      <c r="K1235" s="1238"/>
    </row>
    <row r="1236" s="390" customFormat="1" ht="15.75">
      <c r="K1236" s="1238"/>
    </row>
    <row r="1237" s="390" customFormat="1" ht="15.75">
      <c r="K1237" s="1238"/>
    </row>
    <row r="1238" s="390" customFormat="1" ht="15.75">
      <c r="K1238" s="1238"/>
    </row>
    <row r="1239" s="390" customFormat="1" ht="15.75">
      <c r="K1239" s="1238"/>
    </row>
    <row r="1240" s="390" customFormat="1" ht="15.75">
      <c r="K1240" s="1238"/>
    </row>
    <row r="1241" s="390" customFormat="1" ht="15.75">
      <c r="K1241" s="1238"/>
    </row>
    <row r="1242" s="390" customFormat="1" ht="15.75">
      <c r="K1242" s="1238"/>
    </row>
    <row r="1243" s="390" customFormat="1" ht="15.75">
      <c r="K1243" s="1238"/>
    </row>
    <row r="1244" s="390" customFormat="1" ht="15.75">
      <c r="K1244" s="1238"/>
    </row>
    <row r="1245" s="390" customFormat="1" ht="15.75">
      <c r="K1245" s="1238"/>
    </row>
    <row r="1246" s="390" customFormat="1" ht="15.75">
      <c r="K1246" s="1238"/>
    </row>
    <row r="1247" s="390" customFormat="1" ht="15.75">
      <c r="K1247" s="1238"/>
    </row>
    <row r="1248" s="390" customFormat="1" ht="15.75">
      <c r="K1248" s="1238"/>
    </row>
    <row r="1249" s="390" customFormat="1" ht="15.75">
      <c r="K1249" s="1238"/>
    </row>
    <row r="1250" s="390" customFormat="1" ht="15.75">
      <c r="K1250" s="1238"/>
    </row>
    <row r="1251" s="390" customFormat="1" ht="15.75">
      <c r="K1251" s="1238"/>
    </row>
    <row r="1252" s="390" customFormat="1" ht="15.75">
      <c r="K1252" s="1238"/>
    </row>
    <row r="1253" s="390" customFormat="1" ht="15.75">
      <c r="K1253" s="1238"/>
    </row>
    <row r="1254" s="390" customFormat="1" ht="15.75">
      <c r="K1254" s="1238"/>
    </row>
    <row r="1255" s="390" customFormat="1" ht="15.75">
      <c r="K1255" s="1238"/>
    </row>
    <row r="1256" s="390" customFormat="1" ht="15.75">
      <c r="K1256" s="1238"/>
    </row>
    <row r="1257" s="390" customFormat="1" ht="15.75">
      <c r="K1257" s="1238"/>
    </row>
    <row r="1258" s="390" customFormat="1" ht="15.75">
      <c r="K1258" s="1238"/>
    </row>
    <row r="1259" s="390" customFormat="1" ht="15.75">
      <c r="K1259" s="1238"/>
    </row>
    <row r="1260" s="390" customFormat="1" ht="15.75">
      <c r="K1260" s="1238"/>
    </row>
    <row r="1261" s="390" customFormat="1" ht="15.75">
      <c r="K1261" s="1238"/>
    </row>
    <row r="1262" s="390" customFormat="1" ht="15.75">
      <c r="K1262" s="1238"/>
    </row>
    <row r="1263" s="390" customFormat="1" ht="15.75">
      <c r="K1263" s="1238"/>
    </row>
    <row r="1264" s="390" customFormat="1" ht="15.75">
      <c r="K1264" s="1238"/>
    </row>
    <row r="1265" s="390" customFormat="1" ht="15.75">
      <c r="K1265" s="1238"/>
    </row>
    <row r="1266" s="390" customFormat="1" ht="15.75">
      <c r="K1266" s="1238"/>
    </row>
    <row r="1267" s="390" customFormat="1" ht="15.75">
      <c r="K1267" s="1238"/>
    </row>
    <row r="1268" s="390" customFormat="1" ht="15.75">
      <c r="K1268" s="1238"/>
    </row>
    <row r="1269" s="390" customFormat="1" ht="15.75">
      <c r="K1269" s="1238"/>
    </row>
    <row r="1270" s="390" customFormat="1" ht="15.75">
      <c r="K1270" s="1238"/>
    </row>
    <row r="1271" s="390" customFormat="1" ht="15.75">
      <c r="K1271" s="1238"/>
    </row>
    <row r="1272" s="390" customFormat="1" ht="15.75">
      <c r="K1272" s="1238"/>
    </row>
    <row r="1273" s="390" customFormat="1" ht="15.75">
      <c r="K1273" s="1238"/>
    </row>
    <row r="1274" s="390" customFormat="1" ht="15.75">
      <c r="K1274" s="1238"/>
    </row>
    <row r="1275" s="390" customFormat="1" ht="15.75">
      <c r="K1275" s="1238"/>
    </row>
    <row r="1276" s="390" customFormat="1" ht="15.75">
      <c r="K1276" s="1238"/>
    </row>
    <row r="1277" s="390" customFormat="1" ht="15.75">
      <c r="K1277" s="1238"/>
    </row>
    <row r="1278" s="390" customFormat="1" ht="15.75">
      <c r="K1278" s="1238"/>
    </row>
    <row r="1279" s="390" customFormat="1" ht="15.75">
      <c r="K1279" s="1238"/>
    </row>
    <row r="1280" s="390" customFormat="1" ht="15.75">
      <c r="K1280" s="1238"/>
    </row>
    <row r="1281" s="390" customFormat="1" ht="15.75">
      <c r="K1281" s="1238"/>
    </row>
    <row r="1282" s="390" customFormat="1" ht="15.75">
      <c r="K1282" s="1238"/>
    </row>
    <row r="1283" s="390" customFormat="1" ht="15.75">
      <c r="K1283" s="1238"/>
    </row>
    <row r="1284" s="390" customFormat="1" ht="15.75">
      <c r="K1284" s="1238"/>
    </row>
    <row r="1285" s="390" customFormat="1" ht="15.75">
      <c r="K1285" s="1238"/>
    </row>
    <row r="1286" s="390" customFormat="1" ht="15.75">
      <c r="K1286" s="1238"/>
    </row>
    <row r="1287" s="390" customFormat="1" ht="15.75">
      <c r="K1287" s="1238"/>
    </row>
    <row r="1288" s="390" customFormat="1" ht="15.75">
      <c r="K1288" s="1238"/>
    </row>
    <row r="1289" s="390" customFormat="1" ht="15.75">
      <c r="K1289" s="1238"/>
    </row>
    <row r="1290" s="390" customFormat="1" ht="15.75">
      <c r="K1290" s="1238"/>
    </row>
    <row r="1291" s="390" customFormat="1" ht="15.75">
      <c r="K1291" s="1238"/>
    </row>
    <row r="1292" s="390" customFormat="1" ht="15.75">
      <c r="K1292" s="1238"/>
    </row>
    <row r="1293" s="390" customFormat="1" ht="15.75">
      <c r="K1293" s="1238"/>
    </row>
    <row r="1294" s="390" customFormat="1" ht="15.75">
      <c r="K1294" s="1238"/>
    </row>
    <row r="1295" s="390" customFormat="1" ht="15.75">
      <c r="K1295" s="1238"/>
    </row>
    <row r="1296" s="390" customFormat="1" ht="15.75">
      <c r="K1296" s="1238"/>
    </row>
    <row r="1297" s="390" customFormat="1" ht="15.75">
      <c r="K1297" s="1238"/>
    </row>
    <row r="1298" s="390" customFormat="1" ht="15.75">
      <c r="K1298" s="1238"/>
    </row>
    <row r="1299" s="390" customFormat="1" ht="15.75">
      <c r="K1299" s="1238"/>
    </row>
    <row r="1300" s="390" customFormat="1" ht="15.75">
      <c r="K1300" s="1238"/>
    </row>
    <row r="1301" s="390" customFormat="1" ht="15.75">
      <c r="K1301" s="1238"/>
    </row>
    <row r="1302" s="390" customFormat="1" ht="15.75">
      <c r="K1302" s="1238"/>
    </row>
    <row r="1303" s="390" customFormat="1" ht="15.75">
      <c r="K1303" s="1238"/>
    </row>
    <row r="1304" s="390" customFormat="1" ht="15.75">
      <c r="K1304" s="1238"/>
    </row>
    <row r="1305" s="390" customFormat="1" ht="15.75">
      <c r="K1305" s="1238"/>
    </row>
    <row r="1306" s="390" customFormat="1" ht="15.75">
      <c r="K1306" s="1238"/>
    </row>
    <row r="1307" s="390" customFormat="1" ht="15.75">
      <c r="K1307" s="1238"/>
    </row>
    <row r="1308" s="390" customFormat="1" ht="15.75">
      <c r="K1308" s="1238"/>
    </row>
    <row r="1309" s="390" customFormat="1" ht="15.75">
      <c r="K1309" s="1238"/>
    </row>
    <row r="1310" s="390" customFormat="1" ht="15.75">
      <c r="K1310" s="1238"/>
    </row>
    <row r="1311" s="390" customFormat="1" ht="15.75">
      <c r="K1311" s="1238"/>
    </row>
    <row r="1312" s="390" customFormat="1" ht="15.75">
      <c r="K1312" s="1238"/>
    </row>
    <row r="1313" s="390" customFormat="1" ht="15.75">
      <c r="K1313" s="1238"/>
    </row>
    <row r="1314" s="390" customFormat="1" ht="15.75">
      <c r="K1314" s="1238"/>
    </row>
    <row r="1315" s="390" customFormat="1" ht="15.75">
      <c r="K1315" s="1238"/>
    </row>
    <row r="1316" s="390" customFormat="1" ht="15.75">
      <c r="K1316" s="1238"/>
    </row>
    <row r="1317" s="390" customFormat="1" ht="15.75">
      <c r="K1317" s="1238"/>
    </row>
    <row r="1318" s="390" customFormat="1" ht="15.75">
      <c r="K1318" s="1238"/>
    </row>
    <row r="1319" s="390" customFormat="1" ht="15.75">
      <c r="K1319" s="1238"/>
    </row>
    <row r="1320" s="390" customFormat="1" ht="15.75">
      <c r="K1320" s="1238"/>
    </row>
    <row r="1321" s="390" customFormat="1" ht="15.75">
      <c r="K1321" s="1238"/>
    </row>
    <row r="1322" s="390" customFormat="1" ht="15.75">
      <c r="K1322" s="1238"/>
    </row>
    <row r="1323" s="390" customFormat="1" ht="15.75">
      <c r="K1323" s="1238"/>
    </row>
    <row r="1324" s="390" customFormat="1" ht="15.75">
      <c r="K1324" s="1238"/>
    </row>
    <row r="1325" s="390" customFormat="1" ht="15.75">
      <c r="K1325" s="1238"/>
    </row>
    <row r="1326" s="390" customFormat="1" ht="15.75">
      <c r="K1326" s="1238"/>
    </row>
    <row r="1327" s="390" customFormat="1" ht="15.75">
      <c r="K1327" s="1238"/>
    </row>
    <row r="1328" s="390" customFormat="1" ht="15.75">
      <c r="K1328" s="1238"/>
    </row>
    <row r="1329" s="390" customFormat="1" ht="15.75">
      <c r="K1329" s="1238"/>
    </row>
    <row r="1330" s="390" customFormat="1" ht="15.75">
      <c r="K1330" s="1238"/>
    </row>
    <row r="1331" s="390" customFormat="1" ht="15.75">
      <c r="K1331" s="1238"/>
    </row>
    <row r="1332" s="390" customFormat="1" ht="15.75">
      <c r="K1332" s="1238"/>
    </row>
    <row r="1333" s="390" customFormat="1" ht="15.75">
      <c r="K1333" s="1238"/>
    </row>
    <row r="1334" s="390" customFormat="1" ht="15.75">
      <c r="K1334" s="1238"/>
    </row>
    <row r="1335" s="390" customFormat="1" ht="15.75">
      <c r="K1335" s="1238"/>
    </row>
    <row r="1336" s="390" customFormat="1" ht="15.75">
      <c r="K1336" s="1238"/>
    </row>
    <row r="1337" s="390" customFormat="1" ht="15.75">
      <c r="K1337" s="1238"/>
    </row>
    <row r="1338" s="390" customFormat="1" ht="15.75">
      <c r="K1338" s="1238"/>
    </row>
    <row r="1339" s="390" customFormat="1" ht="15.75">
      <c r="K1339" s="1238"/>
    </row>
    <row r="1340" s="390" customFormat="1" ht="15.75">
      <c r="K1340" s="1238"/>
    </row>
    <row r="1341" s="390" customFormat="1" ht="15.75">
      <c r="K1341" s="1238"/>
    </row>
    <row r="1342" s="390" customFormat="1" ht="15.75">
      <c r="K1342" s="1238"/>
    </row>
    <row r="1343" s="390" customFormat="1" ht="15.75">
      <c r="K1343" s="1238"/>
    </row>
    <row r="1344" s="390" customFormat="1" ht="15.75">
      <c r="K1344" s="1238"/>
    </row>
    <row r="1345" s="390" customFormat="1" ht="15.75">
      <c r="K1345" s="1238"/>
    </row>
    <row r="1346" s="390" customFormat="1" ht="15.75">
      <c r="K1346" s="1238"/>
    </row>
    <row r="1347" s="390" customFormat="1" ht="15.75">
      <c r="K1347" s="1238"/>
    </row>
    <row r="1348" s="390" customFormat="1" ht="15.75">
      <c r="K1348" s="1238"/>
    </row>
    <row r="1349" s="390" customFormat="1" ht="15.75">
      <c r="K1349" s="1238"/>
    </row>
    <row r="1350" s="390" customFormat="1" ht="15.75">
      <c r="K1350" s="1238"/>
    </row>
    <row r="1351" s="390" customFormat="1" ht="15.75">
      <c r="K1351" s="1238"/>
    </row>
    <row r="1352" s="390" customFormat="1" ht="15.75">
      <c r="K1352" s="1238"/>
    </row>
    <row r="1353" s="390" customFormat="1" ht="15.75">
      <c r="K1353" s="1238"/>
    </row>
    <row r="1354" s="390" customFormat="1" ht="15.75">
      <c r="K1354" s="1238"/>
    </row>
    <row r="1355" s="390" customFormat="1" ht="15.75">
      <c r="K1355" s="1238"/>
    </row>
    <row r="1356" s="390" customFormat="1" ht="15.75">
      <c r="K1356" s="1238"/>
    </row>
    <row r="1357" s="390" customFormat="1" ht="15.75">
      <c r="K1357" s="1238"/>
    </row>
    <row r="1358" s="390" customFormat="1" ht="15.75">
      <c r="K1358" s="1238"/>
    </row>
    <row r="1359" s="390" customFormat="1" ht="15.75">
      <c r="K1359" s="1238"/>
    </row>
    <row r="1360" s="390" customFormat="1" ht="15.75">
      <c r="K1360" s="1238"/>
    </row>
    <row r="1361" s="390" customFormat="1" ht="15.75">
      <c r="K1361" s="1238"/>
    </row>
    <row r="1362" s="390" customFormat="1" ht="15.75">
      <c r="K1362" s="1238"/>
    </row>
    <row r="1363" s="390" customFormat="1" ht="15.75">
      <c r="K1363" s="1238"/>
    </row>
    <row r="1364" s="390" customFormat="1" ht="15.75">
      <c r="K1364" s="1238"/>
    </row>
    <row r="1365" s="390" customFormat="1" ht="15.75">
      <c r="K1365" s="1238"/>
    </row>
    <row r="1366" s="390" customFormat="1" ht="15.75">
      <c r="K1366" s="1238"/>
    </row>
    <row r="1367" s="390" customFormat="1" ht="15.75">
      <c r="K1367" s="1238"/>
    </row>
    <row r="1368" s="390" customFormat="1" ht="15.75">
      <c r="K1368" s="1238"/>
    </row>
    <row r="1369" s="390" customFormat="1" ht="15.75">
      <c r="K1369" s="1238"/>
    </row>
    <row r="1370" s="390" customFormat="1" ht="15.75">
      <c r="K1370" s="1238"/>
    </row>
    <row r="1371" s="390" customFormat="1" ht="15.75">
      <c r="K1371" s="1238"/>
    </row>
    <row r="1372" s="390" customFormat="1" ht="15.75">
      <c r="K1372" s="1238"/>
    </row>
    <row r="1373" s="390" customFormat="1" ht="15.75">
      <c r="K1373" s="1238"/>
    </row>
    <row r="1374" s="390" customFormat="1" ht="15.75">
      <c r="K1374" s="1238"/>
    </row>
    <row r="1375" s="390" customFormat="1" ht="15.75">
      <c r="K1375" s="1238"/>
    </row>
    <row r="1376" s="390" customFormat="1" ht="15.75">
      <c r="K1376" s="1238"/>
    </row>
    <row r="1377" s="390" customFormat="1" ht="15.75">
      <c r="K1377" s="1238"/>
    </row>
    <row r="1378" s="390" customFormat="1" ht="15.75">
      <c r="K1378" s="1238"/>
    </row>
    <row r="1379" s="390" customFormat="1" ht="15.75">
      <c r="K1379" s="1238"/>
    </row>
    <row r="1380" s="390" customFormat="1" ht="15.75">
      <c r="K1380" s="1238"/>
    </row>
    <row r="1381" s="390" customFormat="1" ht="15.75">
      <c r="K1381" s="1238"/>
    </row>
    <row r="1382" s="390" customFormat="1" ht="15.75">
      <c r="K1382" s="1238"/>
    </row>
    <row r="1383" s="390" customFormat="1" ht="15.75">
      <c r="K1383" s="1238"/>
    </row>
    <row r="1384" s="390" customFormat="1" ht="15.75">
      <c r="K1384" s="1238"/>
    </row>
    <row r="1385" s="390" customFormat="1" ht="15.75">
      <c r="K1385" s="1238"/>
    </row>
    <row r="1386" s="390" customFormat="1" ht="15.75">
      <c r="K1386" s="1238"/>
    </row>
    <row r="1387" s="390" customFormat="1" ht="15.75">
      <c r="K1387" s="1238"/>
    </row>
    <row r="1388" s="390" customFormat="1" ht="15.75">
      <c r="K1388" s="1238"/>
    </row>
    <row r="1389" s="390" customFormat="1" ht="15.75">
      <c r="K1389" s="1238"/>
    </row>
    <row r="1390" s="390" customFormat="1" ht="15.75">
      <c r="K1390" s="1238"/>
    </row>
    <row r="1391" s="390" customFormat="1" ht="15.75">
      <c r="K1391" s="1238"/>
    </row>
    <row r="1392" s="390" customFormat="1" ht="15.75">
      <c r="K1392" s="1238"/>
    </row>
    <row r="1393" s="390" customFormat="1" ht="15.75">
      <c r="K1393" s="1238"/>
    </row>
    <row r="1394" s="390" customFormat="1" ht="15.75">
      <c r="K1394" s="1238"/>
    </row>
    <row r="1395" s="390" customFormat="1" ht="15.75">
      <c r="K1395" s="1238"/>
    </row>
    <row r="1396" s="390" customFormat="1" ht="15.75">
      <c r="K1396" s="1238"/>
    </row>
    <row r="1397" s="390" customFormat="1" ht="15.75">
      <c r="K1397" s="1238"/>
    </row>
    <row r="1398" s="390" customFormat="1" ht="15.75">
      <c r="K1398" s="1238"/>
    </row>
    <row r="1399" s="390" customFormat="1" ht="15.75">
      <c r="K1399" s="1238"/>
    </row>
    <row r="1400" s="390" customFormat="1" ht="15.75">
      <c r="K1400" s="1238"/>
    </row>
    <row r="1401" s="390" customFormat="1" ht="15.75">
      <c r="K1401" s="1238"/>
    </row>
    <row r="1402" s="390" customFormat="1" ht="15.75">
      <c r="K1402" s="1238"/>
    </row>
    <row r="1403" s="390" customFormat="1" ht="15.75">
      <c r="K1403" s="1238"/>
    </row>
    <row r="1404" s="390" customFormat="1" ht="15.75">
      <c r="K1404" s="1238"/>
    </row>
    <row r="1405" s="390" customFormat="1" ht="15.75">
      <c r="K1405" s="1238"/>
    </row>
    <row r="1406" s="390" customFormat="1" ht="15.75">
      <c r="K1406" s="1238"/>
    </row>
    <row r="1407" s="390" customFormat="1" ht="15.75">
      <c r="K1407" s="1238"/>
    </row>
    <row r="1408" s="390" customFormat="1" ht="15.75">
      <c r="K1408" s="1238"/>
    </row>
    <row r="1409" s="390" customFormat="1" ht="15.75">
      <c r="K1409" s="1238"/>
    </row>
    <row r="1410" s="390" customFormat="1" ht="15.75">
      <c r="K1410" s="1238"/>
    </row>
    <row r="1411" s="390" customFormat="1" ht="15.75">
      <c r="K1411" s="1238"/>
    </row>
    <row r="1412" s="390" customFormat="1" ht="15.75">
      <c r="K1412" s="1238"/>
    </row>
    <row r="1413" s="390" customFormat="1" ht="15.75">
      <c r="K1413" s="1238"/>
    </row>
    <row r="1414" s="390" customFormat="1" ht="15.75">
      <c r="K1414" s="1238"/>
    </row>
    <row r="1415" s="390" customFormat="1" ht="15.75">
      <c r="K1415" s="1238"/>
    </row>
    <row r="1416" s="390" customFormat="1" ht="15.75">
      <c r="K1416" s="1238"/>
    </row>
    <row r="1417" s="390" customFormat="1" ht="15.75">
      <c r="K1417" s="1238"/>
    </row>
    <row r="1418" s="390" customFormat="1" ht="15.75">
      <c r="K1418" s="1238"/>
    </row>
    <row r="1419" s="390" customFormat="1" ht="15.75">
      <c r="K1419" s="1238"/>
    </row>
    <row r="1420" s="390" customFormat="1" ht="15.75">
      <c r="K1420" s="1238"/>
    </row>
    <row r="1421" s="390" customFormat="1" ht="15.75">
      <c r="K1421" s="1238"/>
    </row>
    <row r="1422" s="390" customFormat="1" ht="15.75">
      <c r="K1422" s="1238"/>
    </row>
    <row r="1423" s="390" customFormat="1" ht="15.75">
      <c r="K1423" s="1238"/>
    </row>
    <row r="1424" s="390" customFormat="1" ht="15.75">
      <c r="K1424" s="1238"/>
    </row>
    <row r="1425" s="390" customFormat="1" ht="15.75">
      <c r="K1425" s="1238"/>
    </row>
    <row r="1426" s="390" customFormat="1" ht="15.75">
      <c r="K1426" s="1238"/>
    </row>
    <row r="1427" s="390" customFormat="1" ht="15.75">
      <c r="K1427" s="1238"/>
    </row>
    <row r="1428" s="390" customFormat="1" ht="15.75">
      <c r="K1428" s="1238"/>
    </row>
    <row r="1429" s="390" customFormat="1" ht="15.75">
      <c r="K1429" s="1238"/>
    </row>
    <row r="1430" s="390" customFormat="1" ht="15.75">
      <c r="K1430" s="1238"/>
    </row>
    <row r="1431" s="390" customFormat="1" ht="15.75">
      <c r="K1431" s="1238"/>
    </row>
    <row r="1432" s="390" customFormat="1" ht="15.75">
      <c r="K1432" s="1238"/>
    </row>
    <row r="1433" s="390" customFormat="1" ht="15.75">
      <c r="K1433" s="1238"/>
    </row>
    <row r="1434" s="390" customFormat="1" ht="15.75">
      <c r="K1434" s="1238"/>
    </row>
    <row r="1435" s="390" customFormat="1" ht="15.75">
      <c r="K1435" s="1238"/>
    </row>
    <row r="1436" s="390" customFormat="1" ht="15.75">
      <c r="K1436" s="1238"/>
    </row>
    <row r="1437" s="390" customFormat="1" ht="15.75">
      <c r="K1437" s="1238"/>
    </row>
    <row r="1438" s="390" customFormat="1" ht="15.75">
      <c r="K1438" s="1238"/>
    </row>
    <row r="1439" s="390" customFormat="1" ht="15.75">
      <c r="K1439" s="1238"/>
    </row>
    <row r="1440" s="390" customFormat="1" ht="15.75">
      <c r="K1440" s="1238"/>
    </row>
    <row r="1441" s="390" customFormat="1" ht="15.75">
      <c r="K1441" s="1238"/>
    </row>
    <row r="1442" s="390" customFormat="1" ht="15.75">
      <c r="K1442" s="1238"/>
    </row>
    <row r="1443" s="390" customFormat="1" ht="15.75">
      <c r="K1443" s="1238"/>
    </row>
    <row r="1444" s="390" customFormat="1" ht="15.75">
      <c r="K1444" s="1238"/>
    </row>
    <row r="1445" s="390" customFormat="1" ht="15.75">
      <c r="K1445" s="1238"/>
    </row>
    <row r="1446" s="390" customFormat="1" ht="15.75">
      <c r="K1446" s="1238"/>
    </row>
    <row r="1447" s="390" customFormat="1" ht="15.75">
      <c r="K1447" s="1238"/>
    </row>
    <row r="1448" s="390" customFormat="1" ht="15.75">
      <c r="K1448" s="1238"/>
    </row>
    <row r="1449" s="390" customFormat="1" ht="15.75">
      <c r="K1449" s="1238"/>
    </row>
    <row r="1450" s="390" customFormat="1" ht="15.75">
      <c r="K1450" s="1238"/>
    </row>
    <row r="1451" s="390" customFormat="1" ht="15.75">
      <c r="K1451" s="1238"/>
    </row>
    <row r="1452" s="390" customFormat="1" ht="15.75">
      <c r="K1452" s="1238"/>
    </row>
    <row r="1453" s="390" customFormat="1" ht="15.75">
      <c r="K1453" s="1238"/>
    </row>
    <row r="1454" s="390" customFormat="1" ht="15.75">
      <c r="K1454" s="1238"/>
    </row>
    <row r="1455" s="390" customFormat="1" ht="15.75">
      <c r="K1455" s="1238"/>
    </row>
    <row r="1456" s="390" customFormat="1" ht="15.75">
      <c r="K1456" s="1238"/>
    </row>
    <row r="1457" s="390" customFormat="1" ht="15.75">
      <c r="K1457" s="1238"/>
    </row>
    <row r="1458" s="390" customFormat="1" ht="15.75">
      <c r="K1458" s="1238"/>
    </row>
    <row r="1459" s="390" customFormat="1" ht="15.75">
      <c r="K1459" s="1238"/>
    </row>
    <row r="1460" s="390" customFormat="1" ht="15.75">
      <c r="K1460" s="1238"/>
    </row>
    <row r="1461" s="390" customFormat="1" ht="15.75">
      <c r="K1461" s="1238"/>
    </row>
    <row r="1462" s="390" customFormat="1" ht="15.75">
      <c r="K1462" s="1238"/>
    </row>
    <row r="1463" s="390" customFormat="1" ht="15.75">
      <c r="K1463" s="1238"/>
    </row>
    <row r="1464" s="390" customFormat="1" ht="15.75">
      <c r="K1464" s="1238"/>
    </row>
    <row r="1465" s="390" customFormat="1" ht="15.75">
      <c r="K1465" s="1238"/>
    </row>
    <row r="1466" s="390" customFormat="1" ht="15.75">
      <c r="K1466" s="1238"/>
    </row>
    <row r="1467" s="390" customFormat="1" ht="15.75">
      <c r="K1467" s="1238"/>
    </row>
    <row r="1468" s="390" customFormat="1" ht="15.75">
      <c r="K1468" s="1238"/>
    </row>
    <row r="1469" s="390" customFormat="1" ht="15.75">
      <c r="K1469" s="1238"/>
    </row>
    <row r="1470" s="390" customFormat="1" ht="15.75">
      <c r="K1470" s="1238"/>
    </row>
    <row r="1471" s="390" customFormat="1" ht="15.75">
      <c r="K1471" s="1238"/>
    </row>
    <row r="1472" s="390" customFormat="1" ht="15.75">
      <c r="K1472" s="1238"/>
    </row>
    <row r="1473" s="390" customFormat="1" ht="15.75">
      <c r="K1473" s="1238"/>
    </row>
    <row r="1474" s="390" customFormat="1" ht="15.75">
      <c r="K1474" s="1238"/>
    </row>
    <row r="1475" s="390" customFormat="1" ht="15.75">
      <c r="K1475" s="1238"/>
    </row>
    <row r="1476" s="390" customFormat="1" ht="15.75">
      <c r="K1476" s="1238"/>
    </row>
    <row r="1477" s="390" customFormat="1" ht="15.75">
      <c r="K1477" s="1238"/>
    </row>
    <row r="1478" s="390" customFormat="1" ht="15.75">
      <c r="K1478" s="1238"/>
    </row>
    <row r="1479" s="390" customFormat="1" ht="15.75">
      <c r="K1479" s="1238"/>
    </row>
    <row r="1480" s="390" customFormat="1" ht="15.75">
      <c r="K1480" s="1238"/>
    </row>
    <row r="1481" s="390" customFormat="1" ht="15.75">
      <c r="K1481" s="1238"/>
    </row>
    <row r="1482" s="390" customFormat="1" ht="15.75">
      <c r="K1482" s="1238"/>
    </row>
    <row r="1483" s="390" customFormat="1" ht="15.75">
      <c r="K1483" s="1238"/>
    </row>
    <row r="1484" s="390" customFormat="1" ht="15.75">
      <c r="K1484" s="1238"/>
    </row>
    <row r="1485" s="390" customFormat="1" ht="15.75">
      <c r="K1485" s="1238"/>
    </row>
    <row r="1486" s="390" customFormat="1" ht="15.75">
      <c r="K1486" s="1238"/>
    </row>
    <row r="1487" s="390" customFormat="1" ht="15.75">
      <c r="K1487" s="1238"/>
    </row>
    <row r="1488" s="390" customFormat="1" ht="15.75">
      <c r="K1488" s="1238"/>
    </row>
    <row r="1489" s="390" customFormat="1" ht="15.75">
      <c r="K1489" s="1238"/>
    </row>
    <row r="1490" s="390" customFormat="1" ht="15.75">
      <c r="K1490" s="1238"/>
    </row>
    <row r="1491" s="390" customFormat="1" ht="15.75">
      <c r="K1491" s="1238"/>
    </row>
    <row r="1492" s="390" customFormat="1" ht="15.75">
      <c r="K1492" s="1238"/>
    </row>
    <row r="1493" s="390" customFormat="1" ht="15.75">
      <c r="K1493" s="1238"/>
    </row>
    <row r="1494" s="390" customFormat="1" ht="15.75">
      <c r="K1494" s="1238"/>
    </row>
    <row r="1495" s="390" customFormat="1" ht="15.75">
      <c r="K1495" s="1238"/>
    </row>
    <row r="1496" s="390" customFormat="1" ht="15.75">
      <c r="K1496" s="1238"/>
    </row>
    <row r="1497" s="390" customFormat="1" ht="15.75">
      <c r="K1497" s="1238"/>
    </row>
    <row r="1498" s="390" customFormat="1" ht="15.75">
      <c r="K1498" s="1238"/>
    </row>
    <row r="1499" s="390" customFormat="1" ht="15.75">
      <c r="K1499" s="1238"/>
    </row>
    <row r="1500" s="390" customFormat="1" ht="15.75">
      <c r="K1500" s="1238"/>
    </row>
    <row r="1501" s="390" customFormat="1" ht="15.75">
      <c r="K1501" s="1238"/>
    </row>
    <row r="1502" s="390" customFormat="1" ht="15.75">
      <c r="K1502" s="1238"/>
    </row>
    <row r="1503" s="390" customFormat="1" ht="15.75">
      <c r="K1503" s="1238"/>
    </row>
    <row r="1504" s="390" customFormat="1" ht="15.75">
      <c r="K1504" s="1238"/>
    </row>
    <row r="1505" s="390" customFormat="1" ht="15.75">
      <c r="K1505" s="1238"/>
    </row>
    <row r="1506" s="390" customFormat="1" ht="15.75">
      <c r="K1506" s="1238"/>
    </row>
    <row r="1507" s="390" customFormat="1" ht="15.75">
      <c r="K1507" s="1238"/>
    </row>
    <row r="1508" s="390" customFormat="1" ht="15.75">
      <c r="K1508" s="1238"/>
    </row>
    <row r="1509" s="390" customFormat="1" ht="15.75">
      <c r="K1509" s="1238"/>
    </row>
    <row r="1510" s="390" customFormat="1" ht="15.75">
      <c r="K1510" s="1238"/>
    </row>
    <row r="1511" s="390" customFormat="1" ht="15.75">
      <c r="K1511" s="1238"/>
    </row>
    <row r="1512" s="390" customFormat="1" ht="15.75">
      <c r="K1512" s="1238"/>
    </row>
    <row r="1513" s="390" customFormat="1" ht="15.75">
      <c r="K1513" s="1238"/>
    </row>
    <row r="1514" s="390" customFormat="1" ht="15.75">
      <c r="K1514" s="1238"/>
    </row>
    <row r="1515" s="390" customFormat="1" ht="15.75">
      <c r="K1515" s="1238"/>
    </row>
    <row r="1516" s="390" customFormat="1" ht="15.75">
      <c r="K1516" s="1238"/>
    </row>
    <row r="1517" s="390" customFormat="1" ht="15.75">
      <c r="K1517" s="1238"/>
    </row>
    <row r="1518" s="390" customFormat="1" ht="15.75">
      <c r="K1518" s="1238"/>
    </row>
    <row r="1519" s="390" customFormat="1" ht="15.75">
      <c r="K1519" s="1238"/>
    </row>
    <row r="1520" s="390" customFormat="1" ht="15.75">
      <c r="K1520" s="1238"/>
    </row>
    <row r="1521" s="390" customFormat="1" ht="15.75">
      <c r="K1521" s="1238"/>
    </row>
    <row r="1522" s="390" customFormat="1" ht="15.75">
      <c r="K1522" s="1238"/>
    </row>
    <row r="1523" s="390" customFormat="1" ht="15.75">
      <c r="K1523" s="1238"/>
    </row>
    <row r="1524" s="390" customFormat="1" ht="15.75">
      <c r="K1524" s="1238"/>
    </row>
    <row r="1525" s="390" customFormat="1" ht="15.75">
      <c r="K1525" s="1238"/>
    </row>
    <row r="1526" s="390" customFormat="1" ht="15.75">
      <c r="K1526" s="1238"/>
    </row>
    <row r="1527" s="390" customFormat="1" ht="15.75">
      <c r="K1527" s="1238"/>
    </row>
    <row r="1528" s="390" customFormat="1" ht="15.75">
      <c r="K1528" s="1238"/>
    </row>
    <row r="1529" s="390" customFormat="1" ht="15.75">
      <c r="K1529" s="1238"/>
    </row>
    <row r="1530" s="390" customFormat="1" ht="15.75">
      <c r="K1530" s="1238"/>
    </row>
    <row r="1531" s="390" customFormat="1" ht="15.75">
      <c r="K1531" s="1238"/>
    </row>
    <row r="1532" s="390" customFormat="1" ht="15.75">
      <c r="K1532" s="1238"/>
    </row>
    <row r="1533" s="390" customFormat="1" ht="15.75">
      <c r="K1533" s="1238"/>
    </row>
    <row r="1534" s="390" customFormat="1" ht="15.75">
      <c r="K1534" s="1238"/>
    </row>
    <row r="1535" s="390" customFormat="1" ht="15.75">
      <c r="K1535" s="1238"/>
    </row>
    <row r="1536" s="390" customFormat="1" ht="15.75">
      <c r="K1536" s="1238"/>
    </row>
    <row r="1537" s="390" customFormat="1" ht="15.75">
      <c r="K1537" s="1238"/>
    </row>
    <row r="1538" s="390" customFormat="1" ht="15.75">
      <c r="K1538" s="1238"/>
    </row>
    <row r="1539" s="390" customFormat="1" ht="15.75">
      <c r="K1539" s="1238"/>
    </row>
    <row r="1540" s="390" customFormat="1" ht="15.75">
      <c r="K1540" s="1238"/>
    </row>
    <row r="1541" s="390" customFormat="1" ht="15.75">
      <c r="K1541" s="1238"/>
    </row>
    <row r="1542" s="390" customFormat="1" ht="15.75">
      <c r="K1542" s="1238"/>
    </row>
    <row r="1543" s="390" customFormat="1" ht="15.75">
      <c r="K1543" s="1238"/>
    </row>
    <row r="1544" s="390" customFormat="1" ht="15.75">
      <c r="K1544" s="1238"/>
    </row>
    <row r="1545" s="390" customFormat="1" ht="15.75">
      <c r="K1545" s="1238"/>
    </row>
    <row r="1546" s="390" customFormat="1" ht="15.75">
      <c r="K1546" s="1238"/>
    </row>
    <row r="1547" s="390" customFormat="1" ht="15.75">
      <c r="K1547" s="1238"/>
    </row>
    <row r="1548" s="390" customFormat="1" ht="15.75">
      <c r="K1548" s="1238"/>
    </row>
    <row r="1549" s="390" customFormat="1" ht="15.75">
      <c r="K1549" s="1238"/>
    </row>
    <row r="1550" s="390" customFormat="1" ht="15.75">
      <c r="K1550" s="1238"/>
    </row>
    <row r="1551" s="390" customFormat="1" ht="15.75">
      <c r="K1551" s="1238"/>
    </row>
    <row r="1552" s="390" customFormat="1" ht="15.75">
      <c r="K1552" s="1238"/>
    </row>
    <row r="1553" s="390" customFormat="1" ht="15.75">
      <c r="K1553" s="1238"/>
    </row>
    <row r="1554" s="390" customFormat="1" ht="15.75">
      <c r="K1554" s="1238"/>
    </row>
    <row r="1555" s="390" customFormat="1" ht="15.75">
      <c r="K1555" s="1238"/>
    </row>
    <row r="1556" s="390" customFormat="1" ht="15.75">
      <c r="K1556" s="1238"/>
    </row>
    <row r="1557" s="390" customFormat="1" ht="15.75">
      <c r="K1557" s="1238"/>
    </row>
    <row r="1558" s="390" customFormat="1" ht="15.75">
      <c r="K1558" s="1238"/>
    </row>
    <row r="1559" s="390" customFormat="1" ht="15.75">
      <c r="K1559" s="1238"/>
    </row>
    <row r="1560" s="390" customFormat="1" ht="15.75">
      <c r="K1560" s="1238"/>
    </row>
    <row r="1561" s="390" customFormat="1" ht="15.75">
      <c r="K1561" s="1238"/>
    </row>
    <row r="1562" s="390" customFormat="1" ht="15.75">
      <c r="K1562" s="1238"/>
    </row>
    <row r="1563" s="390" customFormat="1" ht="15.75">
      <c r="K1563" s="1238"/>
    </row>
    <row r="1564" s="390" customFormat="1" ht="15.75">
      <c r="K1564" s="1238"/>
    </row>
    <row r="1565" s="390" customFormat="1" ht="15.75">
      <c r="K1565" s="1238"/>
    </row>
    <row r="1566" s="390" customFormat="1" ht="15.75">
      <c r="K1566" s="1238"/>
    </row>
    <row r="1567" s="390" customFormat="1" ht="15.75">
      <c r="K1567" s="1238"/>
    </row>
    <row r="1568" s="390" customFormat="1" ht="15.75">
      <c r="K1568" s="1238"/>
    </row>
    <row r="1569" s="390" customFormat="1" ht="15.75">
      <c r="K1569" s="1238"/>
    </row>
    <row r="1570" s="390" customFormat="1" ht="15.75">
      <c r="K1570" s="1238"/>
    </row>
    <row r="1571" s="390" customFormat="1" ht="15.75">
      <c r="K1571" s="1238"/>
    </row>
    <row r="1572" s="390" customFormat="1" ht="15.75">
      <c r="K1572" s="1238"/>
    </row>
    <row r="1573" s="390" customFormat="1" ht="15.75">
      <c r="K1573" s="1238"/>
    </row>
    <row r="1574" s="390" customFormat="1" ht="15.75">
      <c r="K1574" s="1238"/>
    </row>
    <row r="1575" s="390" customFormat="1" ht="15.75">
      <c r="K1575" s="1238"/>
    </row>
    <row r="1576" s="390" customFormat="1" ht="15.75">
      <c r="K1576" s="1238"/>
    </row>
    <row r="1577" s="390" customFormat="1" ht="15.75">
      <c r="K1577" s="1238"/>
    </row>
    <row r="1578" s="390" customFormat="1" ht="15.75">
      <c r="K1578" s="1238"/>
    </row>
    <row r="1579" s="390" customFormat="1" ht="15.75">
      <c r="K1579" s="1238"/>
    </row>
    <row r="1580" s="390" customFormat="1" ht="15.75">
      <c r="K1580" s="1238"/>
    </row>
    <row r="1581" s="390" customFormat="1" ht="15.75">
      <c r="K1581" s="1238"/>
    </row>
    <row r="1582" s="390" customFormat="1" ht="15.75">
      <c r="K1582" s="1238"/>
    </row>
    <row r="1583" s="390" customFormat="1" ht="15.75">
      <c r="K1583" s="1238"/>
    </row>
    <row r="1584" s="390" customFormat="1" ht="15.75">
      <c r="K1584" s="1238"/>
    </row>
    <row r="1585" s="390" customFormat="1" ht="15.75">
      <c r="K1585" s="1238"/>
    </row>
    <row r="1586" s="390" customFormat="1" ht="15.75">
      <c r="K1586" s="1238"/>
    </row>
    <row r="1587" s="390" customFormat="1" ht="15.75">
      <c r="K1587" s="1238"/>
    </row>
    <row r="1588" s="390" customFormat="1" ht="15.75">
      <c r="K1588" s="1238"/>
    </row>
    <row r="1589" s="390" customFormat="1" ht="15.75">
      <c r="K1589" s="1238"/>
    </row>
    <row r="1590" s="390" customFormat="1" ht="15.75">
      <c r="K1590" s="1238"/>
    </row>
    <row r="1591" s="390" customFormat="1" ht="15.75">
      <c r="K1591" s="1238"/>
    </row>
    <row r="1592" s="390" customFormat="1" ht="15.75">
      <c r="K1592" s="1238"/>
    </row>
    <row r="1593" s="390" customFormat="1" ht="15.75">
      <c r="K1593" s="1238"/>
    </row>
    <row r="1594" s="390" customFormat="1" ht="15.75">
      <c r="K1594" s="1238"/>
    </row>
    <row r="1595" s="390" customFormat="1" ht="15.75">
      <c r="K1595" s="1238"/>
    </row>
    <row r="1596" s="390" customFormat="1" ht="15.75">
      <c r="K1596" s="1238"/>
    </row>
    <row r="1597" s="390" customFormat="1" ht="15.75">
      <c r="K1597" s="1238"/>
    </row>
    <row r="1598" s="390" customFormat="1" ht="15.75">
      <c r="K1598" s="1238"/>
    </row>
    <row r="1599" s="390" customFormat="1" ht="15.75">
      <c r="K1599" s="1238"/>
    </row>
    <row r="1600" s="390" customFormat="1" ht="15.75">
      <c r="K1600" s="1238"/>
    </row>
    <row r="1601" s="390" customFormat="1" ht="15.75">
      <c r="K1601" s="1238"/>
    </row>
    <row r="1602" s="390" customFormat="1" ht="15.75">
      <c r="K1602" s="1238"/>
    </row>
    <row r="1603" s="390" customFormat="1" ht="15.75">
      <c r="K1603" s="1238"/>
    </row>
    <row r="1604" s="390" customFormat="1" ht="15.75">
      <c r="K1604" s="1238"/>
    </row>
    <row r="1605" s="390" customFormat="1" ht="15.75">
      <c r="K1605" s="1238"/>
    </row>
    <row r="1606" s="390" customFormat="1" ht="15.75">
      <c r="K1606" s="1238"/>
    </row>
    <row r="1607" s="390" customFormat="1" ht="15.75">
      <c r="K1607" s="1238"/>
    </row>
    <row r="1608" s="390" customFormat="1" ht="15.75">
      <c r="K1608" s="1238"/>
    </row>
    <row r="1609" s="390" customFormat="1" ht="15.75">
      <c r="K1609" s="1238"/>
    </row>
    <row r="1610" s="390" customFormat="1" ht="15.75">
      <c r="K1610" s="1238"/>
    </row>
    <row r="1611" s="390" customFormat="1" ht="15.75">
      <c r="K1611" s="1238"/>
    </row>
    <row r="1612" s="390" customFormat="1" ht="15.75">
      <c r="K1612" s="1238"/>
    </row>
    <row r="1613" s="390" customFormat="1" ht="15.75">
      <c r="K1613" s="1238"/>
    </row>
    <row r="1614" s="390" customFormat="1" ht="15.75">
      <c r="K1614" s="1238"/>
    </row>
    <row r="1615" s="390" customFormat="1" ht="15.75">
      <c r="K1615" s="1238"/>
    </row>
    <row r="1616" s="390" customFormat="1" ht="15.75">
      <c r="K1616" s="1238"/>
    </row>
    <row r="1617" s="390" customFormat="1" ht="15.75">
      <c r="K1617" s="1238"/>
    </row>
    <row r="1618" s="390" customFormat="1" ht="15.75">
      <c r="K1618" s="1238"/>
    </row>
    <row r="1619" s="390" customFormat="1" ht="15.75">
      <c r="K1619" s="1238"/>
    </row>
    <row r="1620" s="390" customFormat="1" ht="15.75">
      <c r="K1620" s="1238"/>
    </row>
    <row r="1621" s="390" customFormat="1" ht="15.75">
      <c r="K1621" s="1238"/>
    </row>
    <row r="1622" s="390" customFormat="1" ht="15.75">
      <c r="K1622" s="1238"/>
    </row>
    <row r="1623" s="390" customFormat="1" ht="15.75">
      <c r="K1623" s="1238"/>
    </row>
    <row r="1624" s="390" customFormat="1" ht="15.75">
      <c r="K1624" s="1238"/>
    </row>
    <row r="1625" s="390" customFormat="1" ht="15.75">
      <c r="K1625" s="1238"/>
    </row>
    <row r="1626" s="390" customFormat="1" ht="15.75">
      <c r="K1626" s="1238"/>
    </row>
    <row r="1627" s="390" customFormat="1" ht="15.75">
      <c r="K1627" s="1238"/>
    </row>
    <row r="1628" s="390" customFormat="1" ht="15.75">
      <c r="K1628" s="1238"/>
    </row>
    <row r="1629" s="390" customFormat="1" ht="15.75">
      <c r="K1629" s="1238"/>
    </row>
    <row r="1630" s="390" customFormat="1" ht="15.75">
      <c r="K1630" s="1238"/>
    </row>
    <row r="1631" s="390" customFormat="1" ht="15.75">
      <c r="K1631" s="1238"/>
    </row>
    <row r="1632" s="390" customFormat="1" ht="15.75">
      <c r="K1632" s="1238"/>
    </row>
    <row r="1633" s="390" customFormat="1" ht="15.75">
      <c r="K1633" s="1238"/>
    </row>
    <row r="1634" s="390" customFormat="1" ht="15.75">
      <c r="K1634" s="1238"/>
    </row>
    <row r="1635" s="390" customFormat="1" ht="15.75">
      <c r="K1635" s="1238"/>
    </row>
    <row r="1636" s="390" customFormat="1" ht="15.75">
      <c r="K1636" s="1238"/>
    </row>
    <row r="1637" s="390" customFormat="1" ht="15.75">
      <c r="K1637" s="1238"/>
    </row>
    <row r="1638" s="390" customFormat="1" ht="15.75">
      <c r="K1638" s="1238"/>
    </row>
    <row r="1639" s="390" customFormat="1" ht="15.75">
      <c r="K1639" s="1238"/>
    </row>
    <row r="1640" s="390" customFormat="1" ht="15.75">
      <c r="K1640" s="1238"/>
    </row>
    <row r="1641" s="390" customFormat="1" ht="15.75">
      <c r="K1641" s="1238"/>
    </row>
    <row r="1642" s="390" customFormat="1" ht="15.75">
      <c r="K1642" s="1238"/>
    </row>
    <row r="1643" s="390" customFormat="1" ht="15.75">
      <c r="K1643" s="1238"/>
    </row>
    <row r="1644" s="390" customFormat="1" ht="15.75">
      <c r="K1644" s="1238"/>
    </row>
    <row r="1645" s="390" customFormat="1" ht="15.75">
      <c r="K1645" s="1238"/>
    </row>
    <row r="1646" s="390" customFormat="1" ht="15.75">
      <c r="K1646" s="1238"/>
    </row>
    <row r="1647" s="390" customFormat="1" ht="15.75">
      <c r="K1647" s="1238"/>
    </row>
    <row r="1648" s="390" customFormat="1" ht="15.75">
      <c r="K1648" s="1238"/>
    </row>
    <row r="1649" s="390" customFormat="1" ht="15.75">
      <c r="K1649" s="1238"/>
    </row>
    <row r="1650" s="390" customFormat="1" ht="15.75">
      <c r="K1650" s="1238"/>
    </row>
    <row r="1651" s="390" customFormat="1" ht="15.75">
      <c r="K1651" s="1238"/>
    </row>
    <row r="1652" s="390" customFormat="1" ht="15.75">
      <c r="K1652" s="1238"/>
    </row>
    <row r="1653" s="390" customFormat="1" ht="15.75">
      <c r="K1653" s="1238"/>
    </row>
    <row r="1654" s="390" customFormat="1" ht="15.75">
      <c r="K1654" s="1238"/>
    </row>
    <row r="1655" s="390" customFormat="1" ht="15.75">
      <c r="K1655" s="1238"/>
    </row>
    <row r="1656" s="390" customFormat="1" ht="15.75">
      <c r="K1656" s="1238"/>
    </row>
    <row r="1657" s="390" customFormat="1" ht="15.75">
      <c r="K1657" s="1238"/>
    </row>
    <row r="1658" s="390" customFormat="1" ht="15.75">
      <c r="K1658" s="1238"/>
    </row>
    <row r="1659" s="390" customFormat="1" ht="15.75">
      <c r="K1659" s="1238"/>
    </row>
    <row r="1660" s="390" customFormat="1" ht="15.75">
      <c r="K1660" s="1238"/>
    </row>
    <row r="1661" s="390" customFormat="1" ht="15.75">
      <c r="K1661" s="1238"/>
    </row>
    <row r="1662" s="390" customFormat="1" ht="15.75">
      <c r="K1662" s="1238"/>
    </row>
    <row r="1663" s="390" customFormat="1" ht="15.75">
      <c r="K1663" s="1238"/>
    </row>
    <row r="1664" s="390" customFormat="1" ht="15.75">
      <c r="K1664" s="1238"/>
    </row>
    <row r="1665" s="390" customFormat="1" ht="15.75">
      <c r="K1665" s="1238"/>
    </row>
    <row r="1666" s="390" customFormat="1" ht="15.75">
      <c r="K1666" s="1238"/>
    </row>
    <row r="1667" s="390" customFormat="1" ht="15.75">
      <c r="K1667" s="1238"/>
    </row>
    <row r="1668" s="390" customFormat="1" ht="15.75">
      <c r="K1668" s="1238"/>
    </row>
    <row r="1669" s="390" customFormat="1" ht="15.75">
      <c r="K1669" s="1238"/>
    </row>
    <row r="1670" s="390" customFormat="1" ht="15.75">
      <c r="K1670" s="1238"/>
    </row>
    <row r="1671" s="390" customFormat="1" ht="15.75">
      <c r="K1671" s="1238"/>
    </row>
    <row r="1672" s="390" customFormat="1" ht="15.75">
      <c r="K1672" s="1238"/>
    </row>
    <row r="1673" s="390" customFormat="1" ht="15.75">
      <c r="K1673" s="1238"/>
    </row>
    <row r="1674" s="390" customFormat="1" ht="15.75">
      <c r="K1674" s="1238"/>
    </row>
    <row r="1675" s="390" customFormat="1" ht="15.75">
      <c r="K1675" s="1238"/>
    </row>
    <row r="1676" s="390" customFormat="1" ht="15.75">
      <c r="K1676" s="1238"/>
    </row>
    <row r="1677" s="390" customFormat="1" ht="15.75">
      <c r="K1677" s="1238"/>
    </row>
    <row r="1678" s="390" customFormat="1" ht="15.75">
      <c r="K1678" s="1238"/>
    </row>
    <row r="1679" s="390" customFormat="1" ht="15.75">
      <c r="K1679" s="1238"/>
    </row>
    <row r="1680" s="390" customFormat="1" ht="15.75">
      <c r="K1680" s="1238"/>
    </row>
    <row r="1681" s="390" customFormat="1" ht="15.75">
      <c r="K1681" s="1238"/>
    </row>
    <row r="1682" s="390" customFormat="1" ht="15.75">
      <c r="K1682" s="1238"/>
    </row>
    <row r="1683" s="390" customFormat="1" ht="15.75">
      <c r="K1683" s="1238"/>
    </row>
    <row r="1684" s="390" customFormat="1" ht="15.75">
      <c r="K1684" s="1238"/>
    </row>
    <row r="1685" s="390" customFormat="1" ht="15.75">
      <c r="K1685" s="1238"/>
    </row>
    <row r="1686" s="390" customFormat="1" ht="15.75">
      <c r="K1686" s="1238"/>
    </row>
    <row r="1687" s="390" customFormat="1" ht="15.75">
      <c r="K1687" s="1238"/>
    </row>
    <row r="1688" s="390" customFormat="1" ht="15.75">
      <c r="K1688" s="1238"/>
    </row>
    <row r="1689" s="390" customFormat="1" ht="15.75">
      <c r="K1689" s="1238"/>
    </row>
    <row r="1690" s="390" customFormat="1" ht="15.75">
      <c r="K1690" s="1238"/>
    </row>
    <row r="1691" s="390" customFormat="1" ht="15.75">
      <c r="K1691" s="1238"/>
    </row>
    <row r="1692" s="390" customFormat="1" ht="15.75">
      <c r="K1692" s="1238"/>
    </row>
    <row r="1693" s="390" customFormat="1" ht="15.75">
      <c r="K1693" s="1238"/>
    </row>
    <row r="1694" s="390" customFormat="1" ht="15.75">
      <c r="K1694" s="1238"/>
    </row>
    <row r="1695" s="390" customFormat="1" ht="15.75">
      <c r="K1695" s="1238"/>
    </row>
    <row r="1696" s="390" customFormat="1" ht="15.75">
      <c r="K1696" s="1238"/>
    </row>
    <row r="1697" s="390" customFormat="1" ht="15.75">
      <c r="K1697" s="1238"/>
    </row>
    <row r="1698" s="390" customFormat="1" ht="15.75">
      <c r="K1698" s="1238"/>
    </row>
    <row r="1699" s="390" customFormat="1" ht="15.75">
      <c r="K1699" s="1238"/>
    </row>
    <row r="1700" s="390" customFormat="1" ht="15.75">
      <c r="K1700" s="1238"/>
    </row>
    <row r="1701" s="390" customFormat="1" ht="15.75">
      <c r="K1701" s="1238"/>
    </row>
    <row r="1702" s="390" customFormat="1" ht="15.75">
      <c r="K1702" s="1238"/>
    </row>
    <row r="1703" s="390" customFormat="1" ht="15.75">
      <c r="K1703" s="1238"/>
    </row>
    <row r="1704" s="390" customFormat="1" ht="15.75">
      <c r="K1704" s="1238"/>
    </row>
    <row r="1705" s="390" customFormat="1" ht="15.75">
      <c r="K1705" s="1238"/>
    </row>
    <row r="1706" s="390" customFormat="1" ht="15.75">
      <c r="K1706" s="1238"/>
    </row>
    <row r="1707" s="390" customFormat="1" ht="15.75">
      <c r="K1707" s="1238"/>
    </row>
    <row r="1708" s="390" customFormat="1" ht="15.75">
      <c r="K1708" s="1238"/>
    </row>
    <row r="1709" s="390" customFormat="1" ht="15.75">
      <c r="K1709" s="1238"/>
    </row>
    <row r="1710" s="390" customFormat="1" ht="15.75">
      <c r="K1710" s="1238"/>
    </row>
    <row r="1711" s="390" customFormat="1" ht="15.75">
      <c r="K1711" s="1238"/>
    </row>
    <row r="1712" s="390" customFormat="1" ht="15.75">
      <c r="K1712" s="1238"/>
    </row>
    <row r="1713" s="390" customFormat="1" ht="15.75">
      <c r="K1713" s="1238"/>
    </row>
    <row r="1714" s="390" customFormat="1" ht="15.75">
      <c r="K1714" s="1238"/>
    </row>
    <row r="1715" s="390" customFormat="1" ht="15.75">
      <c r="K1715" s="1238"/>
    </row>
    <row r="1716" s="390" customFormat="1" ht="15.75">
      <c r="K1716" s="1238"/>
    </row>
    <row r="1717" s="390" customFormat="1" ht="15.75">
      <c r="K1717" s="1238"/>
    </row>
    <row r="1718" s="390" customFormat="1" ht="15.75">
      <c r="K1718" s="1238"/>
    </row>
    <row r="1719" s="390" customFormat="1" ht="15.75">
      <c r="K1719" s="1238"/>
    </row>
    <row r="1720" s="390" customFormat="1" ht="15.75">
      <c r="K1720" s="1238"/>
    </row>
    <row r="1721" s="390" customFormat="1" ht="15.75">
      <c r="K1721" s="1238"/>
    </row>
    <row r="1722" s="390" customFormat="1" ht="15.75">
      <c r="K1722" s="1238"/>
    </row>
    <row r="1723" s="390" customFormat="1" ht="15.75">
      <c r="K1723" s="1238"/>
    </row>
    <row r="1724" s="390" customFormat="1" ht="15.75">
      <c r="K1724" s="1238"/>
    </row>
    <row r="1725" s="390" customFormat="1" ht="15.75">
      <c r="K1725" s="1238"/>
    </row>
    <row r="1726" s="390" customFormat="1" ht="15.75">
      <c r="K1726" s="1238"/>
    </row>
    <row r="1727" s="390" customFormat="1" ht="15.75">
      <c r="K1727" s="1238"/>
    </row>
    <row r="1728" s="390" customFormat="1" ht="15.75">
      <c r="K1728" s="1238"/>
    </row>
    <row r="1729" s="390" customFormat="1" ht="15.75">
      <c r="K1729" s="1238"/>
    </row>
    <row r="1730" s="390" customFormat="1" ht="15.75">
      <c r="K1730" s="1238"/>
    </row>
    <row r="1731" s="390" customFormat="1" ht="15.75">
      <c r="K1731" s="1238"/>
    </row>
    <row r="1732" s="390" customFormat="1" ht="15.75">
      <c r="K1732" s="1238"/>
    </row>
    <row r="1733" s="390" customFormat="1" ht="15.75">
      <c r="K1733" s="1238"/>
    </row>
    <row r="1734" s="390" customFormat="1" ht="15.75">
      <c r="K1734" s="1238"/>
    </row>
    <row r="1735" s="390" customFormat="1" ht="15.75">
      <c r="K1735" s="1238"/>
    </row>
    <row r="1736" s="390" customFormat="1" ht="15.75">
      <c r="K1736" s="1238"/>
    </row>
    <row r="1737" s="390" customFormat="1" ht="15.75">
      <c r="K1737" s="1238"/>
    </row>
    <row r="1738" s="390" customFormat="1" ht="15.75">
      <c r="K1738" s="1238"/>
    </row>
    <row r="1739" s="390" customFormat="1" ht="15.75">
      <c r="K1739" s="1238"/>
    </row>
    <row r="1740" s="390" customFormat="1" ht="15.75">
      <c r="K1740" s="1238"/>
    </row>
    <row r="1741" s="390" customFormat="1" ht="15.75">
      <c r="K1741" s="1238"/>
    </row>
    <row r="1742" s="390" customFormat="1" ht="15.75">
      <c r="K1742" s="1238"/>
    </row>
    <row r="1743" s="390" customFormat="1" ht="15.75">
      <c r="K1743" s="1238"/>
    </row>
    <row r="1744" s="390" customFormat="1" ht="15.75">
      <c r="K1744" s="1238"/>
    </row>
    <row r="1745" s="390" customFormat="1" ht="15.75">
      <c r="K1745" s="1238"/>
    </row>
    <row r="1746" s="390" customFormat="1" ht="15.75">
      <c r="K1746" s="1238"/>
    </row>
    <row r="1747" s="390" customFormat="1" ht="15.75">
      <c r="K1747" s="1238"/>
    </row>
    <row r="1748" s="390" customFormat="1" ht="15.75">
      <c r="K1748" s="1238"/>
    </row>
    <row r="1749" s="390" customFormat="1" ht="15.75">
      <c r="K1749" s="1238"/>
    </row>
    <row r="1750" s="390" customFormat="1" ht="15.75">
      <c r="K1750" s="1238"/>
    </row>
    <row r="1751" s="390" customFormat="1" ht="15.75">
      <c r="K1751" s="1238"/>
    </row>
    <row r="1752" s="390" customFormat="1" ht="15.75">
      <c r="K1752" s="1238"/>
    </row>
    <row r="1753" s="390" customFormat="1" ht="15.75">
      <c r="K1753" s="1238"/>
    </row>
    <row r="1754" s="390" customFormat="1" ht="15.75">
      <c r="K1754" s="1238"/>
    </row>
    <row r="1755" s="390" customFormat="1" ht="15.75">
      <c r="K1755" s="1238"/>
    </row>
    <row r="1756" s="390" customFormat="1" ht="15.75">
      <c r="K1756" s="1238"/>
    </row>
    <row r="1757" s="390" customFormat="1" ht="15.75">
      <c r="K1757" s="1238"/>
    </row>
    <row r="1758" s="390" customFormat="1" ht="15.75">
      <c r="K1758" s="1238"/>
    </row>
    <row r="1759" s="390" customFormat="1" ht="15.75">
      <c r="K1759" s="1238"/>
    </row>
    <row r="1760" s="390" customFormat="1" ht="15.75">
      <c r="K1760" s="1238"/>
    </row>
    <row r="1761" s="390" customFormat="1" ht="15.75">
      <c r="K1761" s="1238"/>
    </row>
    <row r="1762" s="390" customFormat="1" ht="15.75">
      <c r="K1762" s="1238"/>
    </row>
    <row r="1763" s="390" customFormat="1" ht="15.75">
      <c r="K1763" s="1238"/>
    </row>
    <row r="1764" s="390" customFormat="1" ht="15.75">
      <c r="K1764" s="1238"/>
    </row>
    <row r="1765" s="390" customFormat="1" ht="15.75">
      <c r="K1765" s="1238"/>
    </row>
    <row r="1766" s="390" customFormat="1" ht="15.75">
      <c r="K1766" s="1238"/>
    </row>
    <row r="1767" s="390" customFormat="1" ht="15.75">
      <c r="K1767" s="1238"/>
    </row>
    <row r="1768" s="390" customFormat="1" ht="15.75">
      <c r="K1768" s="1238"/>
    </row>
    <row r="1769" s="390" customFormat="1" ht="15.75">
      <c r="K1769" s="1238"/>
    </row>
    <row r="1770" s="390" customFormat="1" ht="15.75">
      <c r="K1770" s="1238"/>
    </row>
    <row r="1771" s="390" customFormat="1" ht="15.75">
      <c r="K1771" s="1238"/>
    </row>
    <row r="1772" s="390" customFormat="1" ht="15.75">
      <c r="K1772" s="1238"/>
    </row>
    <row r="1773" s="390" customFormat="1" ht="15.75">
      <c r="K1773" s="1238"/>
    </row>
    <row r="1774" s="390" customFormat="1" ht="15.75">
      <c r="K1774" s="1238"/>
    </row>
    <row r="1775" s="390" customFormat="1" ht="15.75">
      <c r="K1775" s="1238"/>
    </row>
    <row r="1776" s="390" customFormat="1" ht="15.75">
      <c r="K1776" s="1238"/>
    </row>
    <row r="1777" s="390" customFormat="1" ht="15.75">
      <c r="K1777" s="1238"/>
    </row>
    <row r="1778" s="390" customFormat="1" ht="15.75">
      <c r="K1778" s="1238"/>
    </row>
    <row r="1779" s="390" customFormat="1" ht="15.75">
      <c r="K1779" s="1238"/>
    </row>
    <row r="1780" s="390" customFormat="1" ht="15.75">
      <c r="K1780" s="1238"/>
    </row>
    <row r="1781" s="390" customFormat="1" ht="15.75">
      <c r="K1781" s="1238"/>
    </row>
    <row r="1782" s="390" customFormat="1" ht="15.75">
      <c r="K1782" s="1238"/>
    </row>
    <row r="1783" s="390" customFormat="1" ht="15.75">
      <c r="K1783" s="1238"/>
    </row>
    <row r="1784" s="390" customFormat="1" ht="15.75">
      <c r="K1784" s="1238"/>
    </row>
    <row r="1785" s="390" customFormat="1" ht="15.75">
      <c r="K1785" s="1238"/>
    </row>
    <row r="1786" s="390" customFormat="1" ht="15.75">
      <c r="K1786" s="1238"/>
    </row>
    <row r="1787" s="390" customFormat="1" ht="15.75">
      <c r="K1787" s="1238"/>
    </row>
    <row r="1788" s="390" customFormat="1" ht="15.75">
      <c r="K1788" s="1238"/>
    </row>
    <row r="1789" s="390" customFormat="1" ht="15.75">
      <c r="K1789" s="1238"/>
    </row>
    <row r="1790" s="390" customFormat="1" ht="15.75">
      <c r="K1790" s="1238"/>
    </row>
    <row r="1791" s="390" customFormat="1" ht="15.75">
      <c r="K1791" s="1238"/>
    </row>
    <row r="1792" s="390" customFormat="1" ht="15.75">
      <c r="K1792" s="1238"/>
    </row>
    <row r="1793" s="390" customFormat="1" ht="15.75">
      <c r="K1793" s="1238"/>
    </row>
    <row r="1794" s="390" customFormat="1" ht="15.75">
      <c r="K1794" s="1238"/>
    </row>
    <row r="1795" s="390" customFormat="1" ht="15.75">
      <c r="K1795" s="1238"/>
    </row>
    <row r="1796" s="390" customFormat="1" ht="15.75">
      <c r="K1796" s="1238"/>
    </row>
    <row r="1797" s="390" customFormat="1" ht="15.75">
      <c r="K1797" s="1238"/>
    </row>
    <row r="1798" s="390" customFormat="1" ht="15.75">
      <c r="K1798" s="1238"/>
    </row>
    <row r="1799" s="390" customFormat="1" ht="15.75">
      <c r="K1799" s="1238"/>
    </row>
    <row r="1800" s="390" customFormat="1" ht="15.75">
      <c r="K1800" s="1238"/>
    </row>
    <row r="1801" s="390" customFormat="1" ht="15.75">
      <c r="K1801" s="1238"/>
    </row>
    <row r="1802" s="390" customFormat="1" ht="15.75">
      <c r="K1802" s="1238"/>
    </row>
    <row r="1803" s="390" customFormat="1" ht="15.75">
      <c r="K1803" s="1238"/>
    </row>
    <row r="1804" s="390" customFormat="1" ht="15.75">
      <c r="K1804" s="1238"/>
    </row>
    <row r="1805" s="390" customFormat="1" ht="15.75">
      <c r="K1805" s="1238"/>
    </row>
    <row r="1806" s="390" customFormat="1" ht="15.75">
      <c r="K1806" s="1238"/>
    </row>
    <row r="1807" s="390" customFormat="1" ht="15.75">
      <c r="K1807" s="1238"/>
    </row>
    <row r="1808" s="390" customFormat="1" ht="15.75">
      <c r="K1808" s="1238"/>
    </row>
    <row r="1809" s="390" customFormat="1" ht="15.75">
      <c r="K1809" s="1238"/>
    </row>
    <row r="1810" s="390" customFormat="1" ht="15.75">
      <c r="K1810" s="1238"/>
    </row>
    <row r="1811" s="390" customFormat="1" ht="15.75">
      <c r="K1811" s="1238"/>
    </row>
    <row r="1812" s="390" customFormat="1" ht="15.75">
      <c r="K1812" s="1238"/>
    </row>
    <row r="1813" s="390" customFormat="1" ht="15.75">
      <c r="K1813" s="1238"/>
    </row>
    <row r="1814" s="390" customFormat="1" ht="15.75">
      <c r="K1814" s="1238"/>
    </row>
    <row r="1815" s="390" customFormat="1" ht="15.75">
      <c r="K1815" s="1238"/>
    </row>
    <row r="1816" s="390" customFormat="1" ht="15.75">
      <c r="K1816" s="1238"/>
    </row>
    <row r="1817" s="390" customFormat="1" ht="15.75">
      <c r="K1817" s="1238"/>
    </row>
    <row r="1818" s="390" customFormat="1" ht="15.75">
      <c r="K1818" s="1238"/>
    </row>
    <row r="1819" s="390" customFormat="1" ht="15.75">
      <c r="K1819" s="1238"/>
    </row>
    <row r="1820" s="390" customFormat="1" ht="15.75">
      <c r="K1820" s="1238"/>
    </row>
    <row r="1821" s="390" customFormat="1" ht="15.75">
      <c r="K1821" s="1238"/>
    </row>
    <row r="1822" s="390" customFormat="1" ht="15.75">
      <c r="K1822" s="1238"/>
    </row>
    <row r="1823" s="390" customFormat="1" ht="15.75">
      <c r="K1823" s="1238"/>
    </row>
    <row r="1824" s="390" customFormat="1" ht="15.75">
      <c r="K1824" s="1238"/>
    </row>
    <row r="1825" s="390" customFormat="1" ht="15.75">
      <c r="K1825" s="1238"/>
    </row>
    <row r="1826" s="390" customFormat="1" ht="15.75">
      <c r="K1826" s="1238"/>
    </row>
    <row r="1827" s="390" customFormat="1" ht="15.75">
      <c r="K1827" s="1238"/>
    </row>
    <row r="1828" s="390" customFormat="1" ht="15.75">
      <c r="K1828" s="1238"/>
    </row>
    <row r="1829" s="390" customFormat="1" ht="15.75">
      <c r="K1829" s="1238"/>
    </row>
    <row r="1830" s="390" customFormat="1" ht="15.75">
      <c r="K1830" s="1238"/>
    </row>
    <row r="1831" s="390" customFormat="1" ht="15.75">
      <c r="K1831" s="1238"/>
    </row>
    <row r="1832" s="390" customFormat="1" ht="15.75">
      <c r="K1832" s="1238"/>
    </row>
    <row r="1833" s="390" customFormat="1" ht="15.75">
      <c r="K1833" s="1238"/>
    </row>
    <row r="1834" s="390" customFormat="1" ht="15.75">
      <c r="K1834" s="1238"/>
    </row>
    <row r="1835" s="390" customFormat="1" ht="15.75">
      <c r="K1835" s="1238"/>
    </row>
    <row r="1836" s="390" customFormat="1" ht="15.75">
      <c r="K1836" s="1238"/>
    </row>
    <row r="1837" s="390" customFormat="1" ht="15.75">
      <c r="K1837" s="1238"/>
    </row>
    <row r="1838" s="390" customFormat="1" ht="15.75">
      <c r="K1838" s="1238"/>
    </row>
    <row r="1839" s="390" customFormat="1" ht="15.75">
      <c r="K1839" s="1238"/>
    </row>
    <row r="1840" s="390" customFormat="1" ht="15.75">
      <c r="K1840" s="1238"/>
    </row>
    <row r="1841" s="390" customFormat="1" ht="15.75">
      <c r="K1841" s="1238"/>
    </row>
    <row r="1842" s="390" customFormat="1" ht="15.75">
      <c r="K1842" s="1238"/>
    </row>
    <row r="1843" s="390" customFormat="1" ht="15.75">
      <c r="K1843" s="1238"/>
    </row>
    <row r="1844" s="390" customFormat="1" ht="15.75">
      <c r="K1844" s="1238"/>
    </row>
    <row r="1845" s="390" customFormat="1" ht="15.75">
      <c r="K1845" s="1238"/>
    </row>
    <row r="1846" s="390" customFormat="1" ht="15.75">
      <c r="K1846" s="1238"/>
    </row>
    <row r="1847" s="390" customFormat="1" ht="15.75">
      <c r="K1847" s="1238"/>
    </row>
    <row r="1848" s="390" customFormat="1" ht="15.75">
      <c r="K1848" s="1238"/>
    </row>
    <row r="1849" s="390" customFormat="1" ht="15.75">
      <c r="K1849" s="1238"/>
    </row>
    <row r="1850" s="390" customFormat="1" ht="15.75">
      <c r="K1850" s="1238"/>
    </row>
    <row r="1851" s="390" customFormat="1" ht="15.75">
      <c r="K1851" s="1238"/>
    </row>
    <row r="1852" s="390" customFormat="1" ht="15.75">
      <c r="K1852" s="1238"/>
    </row>
    <row r="1853" s="390" customFormat="1" ht="15.75">
      <c r="K1853" s="1238"/>
    </row>
    <row r="1854" s="390" customFormat="1" ht="15.75">
      <c r="K1854" s="1238"/>
    </row>
    <row r="1855" s="390" customFormat="1" ht="15.75">
      <c r="K1855" s="1238"/>
    </row>
    <row r="1856" s="390" customFormat="1" ht="15.75">
      <c r="K1856" s="1238"/>
    </row>
    <row r="1857" s="390" customFormat="1" ht="15.75">
      <c r="K1857" s="1238"/>
    </row>
    <row r="1858" s="390" customFormat="1" ht="15.75">
      <c r="K1858" s="1238"/>
    </row>
    <row r="1859" s="390" customFormat="1" ht="15.75">
      <c r="K1859" s="1238"/>
    </row>
    <row r="1860" s="390" customFormat="1" ht="15.75">
      <c r="K1860" s="1238"/>
    </row>
    <row r="1861" s="390" customFormat="1" ht="15.75">
      <c r="K1861" s="1238"/>
    </row>
    <row r="1862" s="390" customFormat="1" ht="15.75">
      <c r="K1862" s="1238"/>
    </row>
    <row r="1863" s="390" customFormat="1" ht="15.75">
      <c r="K1863" s="1238"/>
    </row>
    <row r="1864" s="390" customFormat="1" ht="15.75">
      <c r="K1864" s="1238"/>
    </row>
    <row r="1865" s="390" customFormat="1" ht="15.75">
      <c r="K1865" s="1238"/>
    </row>
    <row r="1866" s="390" customFormat="1" ht="15.75">
      <c r="K1866" s="1238"/>
    </row>
    <row r="1867" s="390" customFormat="1" ht="15.75">
      <c r="K1867" s="1238"/>
    </row>
    <row r="1868" s="390" customFormat="1" ht="15.75">
      <c r="K1868" s="1238"/>
    </row>
    <row r="1869" s="390" customFormat="1" ht="15.75">
      <c r="K1869" s="1238"/>
    </row>
    <row r="1870" s="390" customFormat="1" ht="15.75">
      <c r="K1870" s="1238"/>
    </row>
    <row r="1871" s="390" customFormat="1" ht="15.75">
      <c r="K1871" s="1238"/>
    </row>
    <row r="1872" s="390" customFormat="1" ht="15.75">
      <c r="K1872" s="1238"/>
    </row>
    <row r="1873" s="390" customFormat="1" ht="15.75">
      <c r="K1873" s="1238"/>
    </row>
    <row r="1874" s="390" customFormat="1" ht="15.75">
      <c r="K1874" s="1238"/>
    </row>
    <row r="1875" s="390" customFormat="1" ht="15.75">
      <c r="K1875" s="1238"/>
    </row>
    <row r="1876" s="390" customFormat="1" ht="15.75">
      <c r="K1876" s="1238"/>
    </row>
    <row r="1877" s="390" customFormat="1" ht="15.75">
      <c r="K1877" s="1238"/>
    </row>
    <row r="1878" s="390" customFormat="1" ht="15.75">
      <c r="K1878" s="1238"/>
    </row>
    <row r="1879" s="390" customFormat="1" ht="15.75">
      <c r="K1879" s="1238"/>
    </row>
    <row r="1880" s="390" customFormat="1" ht="15.75">
      <c r="K1880" s="1238"/>
    </row>
    <row r="1881" s="390" customFormat="1" ht="15.75">
      <c r="K1881" s="1238"/>
    </row>
    <row r="1882" s="390" customFormat="1" ht="15.75">
      <c r="K1882" s="1238"/>
    </row>
    <row r="1883" s="390" customFormat="1" ht="15.75">
      <c r="K1883" s="1238"/>
    </row>
    <row r="1884" s="390" customFormat="1" ht="15.75">
      <c r="K1884" s="1238"/>
    </row>
    <row r="1885" s="390" customFormat="1" ht="15.75">
      <c r="K1885" s="1238"/>
    </row>
    <row r="1886" s="390" customFormat="1" ht="15.75">
      <c r="K1886" s="1238"/>
    </row>
    <row r="1887" s="390" customFormat="1" ht="15.75">
      <c r="K1887" s="1238"/>
    </row>
    <row r="1888" s="390" customFormat="1" ht="15.75">
      <c r="K1888" s="1238"/>
    </row>
    <row r="1889" s="390" customFormat="1" ht="15.75">
      <c r="K1889" s="1238"/>
    </row>
    <row r="1890" s="390" customFormat="1" ht="15.75">
      <c r="K1890" s="1238"/>
    </row>
    <row r="1891" s="390" customFormat="1" ht="15.75">
      <c r="K1891" s="1238"/>
    </row>
    <row r="1892" s="390" customFormat="1" ht="15.75">
      <c r="K1892" s="1238"/>
    </row>
    <row r="1893" s="390" customFormat="1" ht="15.75">
      <c r="K1893" s="1238"/>
    </row>
    <row r="1894" s="390" customFormat="1" ht="15.75">
      <c r="K1894" s="1238"/>
    </row>
    <row r="1895" s="390" customFormat="1" ht="15.75">
      <c r="K1895" s="1238"/>
    </row>
    <row r="1896" s="390" customFormat="1" ht="15.75">
      <c r="K1896" s="1238"/>
    </row>
    <row r="1897" s="390" customFormat="1" ht="15.75">
      <c r="K1897" s="1238"/>
    </row>
    <row r="1898" s="390" customFormat="1" ht="15.75">
      <c r="K1898" s="1238"/>
    </row>
    <row r="1899" s="390" customFormat="1" ht="15.75">
      <c r="K1899" s="1238"/>
    </row>
    <row r="1900" s="390" customFormat="1" ht="15.75">
      <c r="K1900" s="1238"/>
    </row>
    <row r="1901" s="390" customFormat="1" ht="15.75">
      <c r="K1901" s="1238"/>
    </row>
    <row r="1902" s="390" customFormat="1" ht="15.75">
      <c r="K1902" s="1238"/>
    </row>
    <row r="1903" s="390" customFormat="1" ht="15.75">
      <c r="K1903" s="1238"/>
    </row>
    <row r="1904" s="390" customFormat="1" ht="15.75">
      <c r="K1904" s="1238"/>
    </row>
    <row r="1905" s="390" customFormat="1" ht="15.75">
      <c r="K1905" s="1238"/>
    </row>
    <row r="1906" s="390" customFormat="1" ht="15.75">
      <c r="K1906" s="1238"/>
    </row>
    <row r="1907" s="390" customFormat="1" ht="15.75">
      <c r="K1907" s="1238"/>
    </row>
    <row r="1908" s="390" customFormat="1" ht="15.75">
      <c r="K1908" s="1238"/>
    </row>
    <row r="1909" s="390" customFormat="1" ht="15.75">
      <c r="K1909" s="1238"/>
    </row>
    <row r="1910" s="390" customFormat="1" ht="15.75">
      <c r="K1910" s="1238"/>
    </row>
    <row r="1911" s="390" customFormat="1" ht="15.75">
      <c r="K1911" s="1238"/>
    </row>
    <row r="1912" s="390" customFormat="1" ht="15.75">
      <c r="K1912" s="1238"/>
    </row>
    <row r="1913" s="390" customFormat="1" ht="15.75">
      <c r="K1913" s="1238"/>
    </row>
    <row r="1914" s="390" customFormat="1" ht="15.75">
      <c r="K1914" s="1238"/>
    </row>
    <row r="1915" s="390" customFormat="1" ht="15.75">
      <c r="K1915" s="1238"/>
    </row>
    <row r="1916" s="390" customFormat="1" ht="15.75">
      <c r="K1916" s="1238"/>
    </row>
    <row r="1917" s="390" customFormat="1" ht="15.75">
      <c r="K1917" s="1238"/>
    </row>
    <row r="1918" s="390" customFormat="1" ht="15.75">
      <c r="K1918" s="1238"/>
    </row>
    <row r="1919" s="390" customFormat="1" ht="15.75">
      <c r="K1919" s="1238"/>
    </row>
    <row r="1920" s="390" customFormat="1" ht="15.75">
      <c r="K1920" s="1238"/>
    </row>
    <row r="1921" s="390" customFormat="1" ht="15.75">
      <c r="K1921" s="1238"/>
    </row>
    <row r="1922" s="390" customFormat="1" ht="15.75">
      <c r="K1922" s="1238"/>
    </row>
    <row r="1923" s="390" customFormat="1" ht="15.75">
      <c r="K1923" s="1238"/>
    </row>
    <row r="1924" s="390" customFormat="1" ht="15.75">
      <c r="K1924" s="1238"/>
    </row>
    <row r="1925" s="390" customFormat="1" ht="15.75">
      <c r="K1925" s="1238"/>
    </row>
    <row r="1926" s="390" customFormat="1" ht="15.75">
      <c r="K1926" s="1238"/>
    </row>
    <row r="1927" s="390" customFormat="1" ht="15.75">
      <c r="K1927" s="1238"/>
    </row>
    <row r="1928" s="390" customFormat="1" ht="15.75">
      <c r="K1928" s="1238"/>
    </row>
    <row r="1929" s="390" customFormat="1" ht="15.75">
      <c r="K1929" s="1238"/>
    </row>
    <row r="1930" s="390" customFormat="1" ht="15.75">
      <c r="K1930" s="1238"/>
    </row>
    <row r="1931" s="390" customFormat="1" ht="15.75">
      <c r="K1931" s="1238"/>
    </row>
    <row r="1932" s="390" customFormat="1" ht="15.75">
      <c r="K1932" s="1238"/>
    </row>
    <row r="1933" s="390" customFormat="1" ht="15.75">
      <c r="K1933" s="1238"/>
    </row>
    <row r="1934" s="390" customFormat="1" ht="15.75">
      <c r="K1934" s="1238"/>
    </row>
    <row r="1935" s="390" customFormat="1" ht="15.75">
      <c r="K1935" s="1238"/>
    </row>
    <row r="1936" s="390" customFormat="1" ht="15.75">
      <c r="K1936" s="1238"/>
    </row>
    <row r="1937" s="390" customFormat="1" ht="15.75">
      <c r="K1937" s="1238"/>
    </row>
    <row r="1938" s="390" customFormat="1" ht="15.75">
      <c r="K1938" s="1238"/>
    </row>
    <row r="1939" s="390" customFormat="1" ht="15.75">
      <c r="K1939" s="1238"/>
    </row>
    <row r="1940" s="390" customFormat="1" ht="15.75">
      <c r="K1940" s="1238"/>
    </row>
    <row r="1941" s="390" customFormat="1" ht="15.75">
      <c r="K1941" s="1238"/>
    </row>
    <row r="1942" s="390" customFormat="1" ht="15.75">
      <c r="K1942" s="1238"/>
    </row>
    <row r="1943" s="390" customFormat="1" ht="15.75">
      <c r="K1943" s="1238"/>
    </row>
    <row r="1944" s="390" customFormat="1" ht="15.75">
      <c r="K1944" s="1238"/>
    </row>
    <row r="1945" s="390" customFormat="1" ht="15.75">
      <c r="K1945" s="1238"/>
    </row>
    <row r="1946" s="390" customFormat="1" ht="15.75">
      <c r="K1946" s="1238"/>
    </row>
    <row r="1947" s="390" customFormat="1" ht="15.75">
      <c r="K1947" s="1238"/>
    </row>
    <row r="1948" s="390" customFormat="1" ht="15.75">
      <c r="K1948" s="1238"/>
    </row>
    <row r="1949" s="390" customFormat="1" ht="15.75">
      <c r="K1949" s="1238"/>
    </row>
    <row r="1950" s="390" customFormat="1" ht="15.75">
      <c r="K1950" s="1238"/>
    </row>
    <row r="1951" s="390" customFormat="1" ht="15.75">
      <c r="K1951" s="1238"/>
    </row>
    <row r="1952" s="390" customFormat="1" ht="15.75">
      <c r="K1952" s="1238"/>
    </row>
    <row r="1953" s="390" customFormat="1" ht="15.75">
      <c r="K1953" s="1238"/>
    </row>
    <row r="1954" s="390" customFormat="1" ht="15.75">
      <c r="K1954" s="1238"/>
    </row>
    <row r="1955" s="390" customFormat="1" ht="15.75">
      <c r="K1955" s="1238"/>
    </row>
    <row r="1956" s="390" customFormat="1" ht="15.75">
      <c r="K1956" s="1238"/>
    </row>
    <row r="1957" s="390" customFormat="1" ht="15.75">
      <c r="K1957" s="1238"/>
    </row>
    <row r="1958" s="390" customFormat="1" ht="15.75">
      <c r="K1958" s="1238"/>
    </row>
    <row r="1959" s="390" customFormat="1" ht="15.75">
      <c r="K1959" s="1238"/>
    </row>
    <row r="1960" s="390" customFormat="1" ht="15.75">
      <c r="K1960" s="1238"/>
    </row>
    <row r="1961" s="390" customFormat="1" ht="15.75">
      <c r="K1961" s="1238"/>
    </row>
    <row r="1962" s="390" customFormat="1" ht="15.75">
      <c r="K1962" s="1238"/>
    </row>
    <row r="1963" s="390" customFormat="1" ht="15.75">
      <c r="K1963" s="1238"/>
    </row>
    <row r="1964" s="390" customFormat="1" ht="15.75">
      <c r="K1964" s="1238"/>
    </row>
    <row r="1965" s="390" customFormat="1" ht="15.75">
      <c r="K1965" s="1238"/>
    </row>
    <row r="1966" s="390" customFormat="1" ht="15.75">
      <c r="K1966" s="1238"/>
    </row>
    <row r="1967" s="390" customFormat="1" ht="15.75">
      <c r="K1967" s="1238"/>
    </row>
    <row r="1968" s="390" customFormat="1" ht="15.75">
      <c r="K1968" s="1238"/>
    </row>
    <row r="1969" s="390" customFormat="1" ht="15.75">
      <c r="K1969" s="1238"/>
    </row>
    <row r="1970" s="390" customFormat="1" ht="15.75">
      <c r="K1970" s="1238"/>
    </row>
    <row r="1971" s="390" customFormat="1" ht="15.75">
      <c r="K1971" s="1238"/>
    </row>
    <row r="1972" s="390" customFormat="1" ht="15.75">
      <c r="K1972" s="1238"/>
    </row>
    <row r="1973" s="390" customFormat="1" ht="15.75">
      <c r="K1973" s="1238"/>
    </row>
    <row r="1974" s="390" customFormat="1" ht="15.75">
      <c r="K1974" s="1238"/>
    </row>
    <row r="1975" s="390" customFormat="1" ht="15.75">
      <c r="K1975" s="1238"/>
    </row>
    <row r="1976" s="390" customFormat="1" ht="15.75">
      <c r="K1976" s="1238"/>
    </row>
    <row r="1977" s="390" customFormat="1" ht="15.75">
      <c r="K1977" s="1238"/>
    </row>
    <row r="1978" s="390" customFormat="1" ht="15.75">
      <c r="K1978" s="1238"/>
    </row>
    <row r="1979" s="390" customFormat="1" ht="15.75">
      <c r="K1979" s="1238"/>
    </row>
    <row r="1980" s="390" customFormat="1" ht="15.75">
      <c r="K1980" s="1238"/>
    </row>
    <row r="1981" s="390" customFormat="1" ht="15.75">
      <c r="K1981" s="1238"/>
    </row>
    <row r="1982" s="390" customFormat="1" ht="15.75">
      <c r="K1982" s="1238"/>
    </row>
    <row r="1983" s="390" customFormat="1" ht="15.75">
      <c r="K1983" s="1238"/>
    </row>
    <row r="1984" s="390" customFormat="1" ht="15.75">
      <c r="K1984" s="1238"/>
    </row>
    <row r="1985" s="390" customFormat="1" ht="15.75">
      <c r="K1985" s="1238"/>
    </row>
    <row r="1986" s="390" customFormat="1" ht="15.75">
      <c r="K1986" s="1238"/>
    </row>
    <row r="1987" s="390" customFormat="1" ht="15.75">
      <c r="K1987" s="1238"/>
    </row>
    <row r="1988" s="390" customFormat="1" ht="15.75">
      <c r="K1988" s="1238"/>
    </row>
    <row r="1989" s="390" customFormat="1" ht="15.75">
      <c r="K1989" s="1238"/>
    </row>
    <row r="1990" s="390" customFormat="1" ht="15.75">
      <c r="K1990" s="1238"/>
    </row>
    <row r="1991" s="390" customFormat="1" ht="15.75">
      <c r="K1991" s="1238"/>
    </row>
    <row r="1992" s="390" customFormat="1" ht="15.75">
      <c r="K1992" s="1238"/>
    </row>
    <row r="1993" s="390" customFormat="1" ht="15.75">
      <c r="K1993" s="1238"/>
    </row>
    <row r="1994" s="390" customFormat="1" ht="15.75">
      <c r="K1994" s="1238"/>
    </row>
    <row r="1995" s="390" customFormat="1" ht="15.75">
      <c r="K1995" s="1238"/>
    </row>
    <row r="1996" s="390" customFormat="1" ht="15.75">
      <c r="K1996" s="1238"/>
    </row>
    <row r="1997" s="390" customFormat="1" ht="15.75">
      <c r="K1997" s="1238"/>
    </row>
    <row r="1998" s="390" customFormat="1" ht="15.75">
      <c r="K1998" s="1238"/>
    </row>
    <row r="1999" s="390" customFormat="1" ht="15.75">
      <c r="K1999" s="1238"/>
    </row>
    <row r="2000" s="390" customFormat="1" ht="15.75">
      <c r="K2000" s="1238"/>
    </row>
    <row r="2001" s="390" customFormat="1" ht="15.75">
      <c r="K2001" s="1238"/>
    </row>
    <row r="2002" s="390" customFormat="1" ht="15.75">
      <c r="K2002" s="1238"/>
    </row>
    <row r="2003" s="390" customFormat="1" ht="15.75">
      <c r="K2003" s="1238"/>
    </row>
    <row r="2004" s="390" customFormat="1" ht="15.75">
      <c r="K2004" s="1238"/>
    </row>
    <row r="2005" s="390" customFormat="1" ht="15.75">
      <c r="K2005" s="1238"/>
    </row>
    <row r="2006" s="390" customFormat="1" ht="15.75">
      <c r="K2006" s="1238"/>
    </row>
    <row r="2007" s="390" customFormat="1" ht="15.75">
      <c r="K2007" s="1238"/>
    </row>
    <row r="2008" s="390" customFormat="1" ht="15.75">
      <c r="K2008" s="1238"/>
    </row>
    <row r="2009" s="390" customFormat="1" ht="15.75">
      <c r="K2009" s="1238"/>
    </row>
    <row r="2010" s="390" customFormat="1" ht="15.75">
      <c r="K2010" s="1238"/>
    </row>
    <row r="2011" s="390" customFormat="1" ht="15.75">
      <c r="K2011" s="1238"/>
    </row>
    <row r="2012" s="390" customFormat="1" ht="15.75">
      <c r="K2012" s="1238"/>
    </row>
    <row r="2013" s="390" customFormat="1" ht="15.75">
      <c r="K2013" s="1238"/>
    </row>
    <row r="2014" s="390" customFormat="1" ht="15.75">
      <c r="K2014" s="1238"/>
    </row>
    <row r="2015" s="390" customFormat="1" ht="15.75">
      <c r="K2015" s="1238"/>
    </row>
    <row r="2016" s="390" customFormat="1" ht="15.75">
      <c r="K2016" s="1238"/>
    </row>
    <row r="2017" s="390" customFormat="1" ht="15.75">
      <c r="K2017" s="1238"/>
    </row>
    <row r="2018" s="390" customFormat="1" ht="15.75">
      <c r="K2018" s="1238"/>
    </row>
    <row r="2019" s="390" customFormat="1" ht="15.75">
      <c r="K2019" s="1238"/>
    </row>
    <row r="2020" s="390" customFormat="1" ht="15.75">
      <c r="K2020" s="1238"/>
    </row>
    <row r="2021" s="390" customFormat="1" ht="15.75">
      <c r="K2021" s="1238"/>
    </row>
    <row r="2022" s="390" customFormat="1" ht="15.75">
      <c r="K2022" s="1238"/>
    </row>
    <row r="2023" s="390" customFormat="1" ht="15.75">
      <c r="K2023" s="1238"/>
    </row>
    <row r="2024" s="390" customFormat="1" ht="15.75">
      <c r="K2024" s="1238"/>
    </row>
    <row r="2025" s="390" customFormat="1" ht="15.75">
      <c r="K2025" s="1238"/>
    </row>
    <row r="2026" s="390" customFormat="1" ht="15.75">
      <c r="K2026" s="1238"/>
    </row>
    <row r="2027" s="390" customFormat="1" ht="15.75">
      <c r="K2027" s="1238"/>
    </row>
    <row r="2028" s="390" customFormat="1" ht="15.75">
      <c r="K2028" s="1238"/>
    </row>
    <row r="2029" s="390" customFormat="1" ht="15.75">
      <c r="K2029" s="1238"/>
    </row>
    <row r="2030" s="390" customFormat="1" ht="15.75">
      <c r="K2030" s="1238"/>
    </row>
    <row r="2031" s="390" customFormat="1" ht="15.75">
      <c r="K2031" s="1238"/>
    </row>
    <row r="2032" s="390" customFormat="1" ht="15.75">
      <c r="K2032" s="1238"/>
    </row>
    <row r="2033" s="390" customFormat="1" ht="15.75">
      <c r="K2033" s="1238"/>
    </row>
    <row r="2034" s="390" customFormat="1" ht="15.75">
      <c r="K2034" s="1238"/>
    </row>
    <row r="2035" s="390" customFormat="1" ht="15.75">
      <c r="K2035" s="1238"/>
    </row>
    <row r="2036" s="390" customFormat="1" ht="15.75">
      <c r="K2036" s="1238"/>
    </row>
    <row r="2037" s="390" customFormat="1" ht="15.75">
      <c r="K2037" s="1238"/>
    </row>
    <row r="2038" s="390" customFormat="1" ht="15.75">
      <c r="K2038" s="1238"/>
    </row>
    <row r="2039" s="390" customFormat="1" ht="15.75">
      <c r="K2039" s="1238"/>
    </row>
    <row r="2040" s="390" customFormat="1" ht="15.75">
      <c r="K2040" s="1238"/>
    </row>
    <row r="2041" s="390" customFormat="1" ht="15.75">
      <c r="K2041" s="1238"/>
    </row>
    <row r="2042" s="390" customFormat="1" ht="15.75">
      <c r="K2042" s="1238"/>
    </row>
    <row r="2043" s="390" customFormat="1" ht="15.75">
      <c r="K2043" s="1238"/>
    </row>
    <row r="2044" s="390" customFormat="1" ht="15.75">
      <c r="K2044" s="1238"/>
    </row>
    <row r="2045" s="390" customFormat="1" ht="15.75">
      <c r="K2045" s="1238"/>
    </row>
    <row r="2046" s="390" customFormat="1" ht="15.75">
      <c r="K2046" s="1238"/>
    </row>
    <row r="2047" s="390" customFormat="1" ht="15.75">
      <c r="K2047" s="1238"/>
    </row>
    <row r="2048" s="390" customFormat="1" ht="15.75">
      <c r="K2048" s="1238"/>
    </row>
    <row r="2049" s="390" customFormat="1" ht="15.75">
      <c r="K2049" s="1238"/>
    </row>
    <row r="2050" s="390" customFormat="1" ht="15.75">
      <c r="K2050" s="1238"/>
    </row>
    <row r="2051" s="390" customFormat="1" ht="15.75">
      <c r="K2051" s="1238"/>
    </row>
    <row r="2052" s="390" customFormat="1" ht="15.75">
      <c r="K2052" s="1238"/>
    </row>
    <row r="2053" s="390" customFormat="1" ht="15.75">
      <c r="K2053" s="1238"/>
    </row>
    <row r="2054" s="390" customFormat="1" ht="15.75">
      <c r="K2054" s="1238"/>
    </row>
    <row r="2055" s="390" customFormat="1" ht="15.75">
      <c r="K2055" s="1238"/>
    </row>
    <row r="2056" s="390" customFormat="1" ht="15.75">
      <c r="K2056" s="1238"/>
    </row>
    <row r="2057" s="390" customFormat="1" ht="15.75">
      <c r="K2057" s="1238"/>
    </row>
    <row r="2058" s="390" customFormat="1" ht="15.75">
      <c r="K2058" s="1238"/>
    </row>
    <row r="2059" s="390" customFormat="1" ht="15.75">
      <c r="K2059" s="1238"/>
    </row>
    <row r="2060" s="390" customFormat="1" ht="15.75">
      <c r="K2060" s="1238"/>
    </row>
    <row r="2061" s="390" customFormat="1" ht="15.75">
      <c r="K2061" s="1238"/>
    </row>
    <row r="2062" s="390" customFormat="1" ht="15.75">
      <c r="K2062" s="1238"/>
    </row>
    <row r="2063" s="390" customFormat="1" ht="15.75">
      <c r="K2063" s="1238"/>
    </row>
    <row r="2064" s="390" customFormat="1" ht="15.75">
      <c r="K2064" s="1238"/>
    </row>
    <row r="2065" s="390" customFormat="1" ht="15.75">
      <c r="K2065" s="1238"/>
    </row>
    <row r="2066" s="390" customFormat="1" ht="15.75">
      <c r="K2066" s="1238"/>
    </row>
    <row r="2067" s="390" customFormat="1" ht="15.75">
      <c r="K2067" s="1238"/>
    </row>
    <row r="2068" s="390" customFormat="1" ht="15.75">
      <c r="K2068" s="1238"/>
    </row>
    <row r="2069" s="390" customFormat="1" ht="15.75">
      <c r="K2069" s="1238"/>
    </row>
    <row r="2070" s="390" customFormat="1" ht="15.75">
      <c r="K2070" s="1238"/>
    </row>
    <row r="2071" s="390" customFormat="1" ht="15.75">
      <c r="K2071" s="1238"/>
    </row>
    <row r="2072" s="390" customFormat="1" ht="15.75">
      <c r="K2072" s="1238"/>
    </row>
    <row r="2073" s="390" customFormat="1" ht="15.75">
      <c r="K2073" s="1238"/>
    </row>
    <row r="2074" s="390" customFormat="1" ht="15.75">
      <c r="K2074" s="1238"/>
    </row>
    <row r="2075" s="390" customFormat="1" ht="15.75">
      <c r="K2075" s="1238"/>
    </row>
    <row r="2076" s="390" customFormat="1" ht="15.75">
      <c r="K2076" s="1238"/>
    </row>
    <row r="2077" s="390" customFormat="1" ht="15.75">
      <c r="K2077" s="1238"/>
    </row>
    <row r="2078" s="390" customFormat="1" ht="15.75">
      <c r="K2078" s="1238"/>
    </row>
    <row r="2079" s="390" customFormat="1" ht="15.75">
      <c r="K2079" s="1238"/>
    </row>
    <row r="2080" s="390" customFormat="1" ht="15.75">
      <c r="K2080" s="1238"/>
    </row>
    <row r="2081" s="390" customFormat="1" ht="15.75">
      <c r="K2081" s="1238"/>
    </row>
    <row r="2082" s="390" customFormat="1" ht="15.75">
      <c r="K2082" s="1238"/>
    </row>
    <row r="2083" s="390" customFormat="1" ht="15.75">
      <c r="K2083" s="1238"/>
    </row>
    <row r="2084" s="390" customFormat="1" ht="15.75">
      <c r="K2084" s="1238"/>
    </row>
    <row r="2085" s="390" customFormat="1" ht="15.75">
      <c r="K2085" s="1238"/>
    </row>
    <row r="2086" s="390" customFormat="1" ht="15.75">
      <c r="K2086" s="1238"/>
    </row>
    <row r="2087" s="390" customFormat="1" ht="15.75">
      <c r="K2087" s="1238"/>
    </row>
    <row r="2088" s="390" customFormat="1" ht="15.75">
      <c r="K2088" s="1238"/>
    </row>
    <row r="2089" s="390" customFormat="1" ht="15.75">
      <c r="K2089" s="1238"/>
    </row>
    <row r="2090" s="390" customFormat="1" ht="15.75">
      <c r="K2090" s="1238"/>
    </row>
    <row r="2091" s="390" customFormat="1" ht="15.75">
      <c r="K2091" s="1238"/>
    </row>
    <row r="2092" s="390" customFormat="1" ht="15.75">
      <c r="K2092" s="1238"/>
    </row>
    <row r="2093" s="390" customFormat="1" ht="15.75">
      <c r="K2093" s="1238"/>
    </row>
    <row r="2094" s="390" customFormat="1" ht="15.75">
      <c r="K2094" s="1238"/>
    </row>
    <row r="2095" s="390" customFormat="1" ht="15.75">
      <c r="K2095" s="1238"/>
    </row>
    <row r="2096" s="390" customFormat="1" ht="15.75">
      <c r="K2096" s="1238"/>
    </row>
    <row r="2097" s="390" customFormat="1" ht="15.75">
      <c r="K2097" s="1238"/>
    </row>
    <row r="2098" s="390" customFormat="1" ht="15.75">
      <c r="K2098" s="1238"/>
    </row>
    <row r="2099" s="390" customFormat="1" ht="15.75">
      <c r="K2099" s="1238"/>
    </row>
    <row r="2100" s="390" customFormat="1" ht="15.75">
      <c r="K2100" s="1238"/>
    </row>
    <row r="2101" s="390" customFormat="1" ht="15.75">
      <c r="K2101" s="1238"/>
    </row>
    <row r="2102" s="390" customFormat="1" ht="15.75">
      <c r="K2102" s="1238"/>
    </row>
    <row r="2103" s="390" customFormat="1" ht="15.75">
      <c r="K2103" s="1238"/>
    </row>
    <row r="2104" s="390" customFormat="1" ht="15.75">
      <c r="K2104" s="1238"/>
    </row>
    <row r="2105" s="390" customFormat="1" ht="15.75">
      <c r="K2105" s="1238"/>
    </row>
    <row r="2106" s="390" customFormat="1" ht="15.75">
      <c r="K2106" s="1238"/>
    </row>
    <row r="2107" s="390" customFormat="1" ht="15.75">
      <c r="K2107" s="1238"/>
    </row>
    <row r="2108" s="390" customFormat="1" ht="15.75">
      <c r="K2108" s="1238"/>
    </row>
    <row r="2109" s="390" customFormat="1" ht="15.75">
      <c r="K2109" s="1238"/>
    </row>
    <row r="2110" s="390" customFormat="1" ht="15.75">
      <c r="K2110" s="1238"/>
    </row>
    <row r="2111" s="390" customFormat="1" ht="15.75">
      <c r="K2111" s="1238"/>
    </row>
    <row r="2112" s="390" customFormat="1" ht="15.75">
      <c r="K2112" s="1238"/>
    </row>
    <row r="2113" s="390" customFormat="1" ht="15.75">
      <c r="K2113" s="1238"/>
    </row>
    <row r="2114" s="390" customFormat="1" ht="15.75">
      <c r="K2114" s="1238"/>
    </row>
    <row r="2115" s="390" customFormat="1" ht="15.75">
      <c r="K2115" s="1238"/>
    </row>
    <row r="2116" s="390" customFormat="1" ht="15.75">
      <c r="K2116" s="1238"/>
    </row>
    <row r="2117" s="390" customFormat="1" ht="15.75">
      <c r="K2117" s="1238"/>
    </row>
    <row r="2118" s="390" customFormat="1" ht="15.75">
      <c r="K2118" s="1238"/>
    </row>
    <row r="2119" s="390" customFormat="1" ht="15.75">
      <c r="K2119" s="1238"/>
    </row>
    <row r="2120" s="390" customFormat="1" ht="15.75">
      <c r="K2120" s="1238"/>
    </row>
    <row r="2121" s="390" customFormat="1" ht="15.75">
      <c r="K2121" s="1238"/>
    </row>
    <row r="2122" s="390" customFormat="1" ht="15.75">
      <c r="K2122" s="1238"/>
    </row>
    <row r="2123" s="390" customFormat="1" ht="15.75">
      <c r="K2123" s="1238"/>
    </row>
    <row r="2124" s="390" customFormat="1" ht="15.75">
      <c r="K2124" s="1238"/>
    </row>
    <row r="2125" s="390" customFormat="1" ht="15.75">
      <c r="K2125" s="1238"/>
    </row>
    <row r="2126" s="390" customFormat="1" ht="15.75">
      <c r="K2126" s="1238"/>
    </row>
    <row r="2127" s="390" customFormat="1" ht="15.75">
      <c r="K2127" s="1238"/>
    </row>
    <row r="2128" s="390" customFormat="1" ht="15.75">
      <c r="K2128" s="1238"/>
    </row>
    <row r="2129" s="390" customFormat="1" ht="15.75">
      <c r="K2129" s="1238"/>
    </row>
    <row r="2130" s="390" customFormat="1" ht="15.75">
      <c r="K2130" s="1238"/>
    </row>
    <row r="2131" s="390" customFormat="1" ht="15.75">
      <c r="K2131" s="1238"/>
    </row>
    <row r="2132" s="390" customFormat="1" ht="15.75">
      <c r="K2132" s="1238"/>
    </row>
    <row r="2133" s="390" customFormat="1" ht="15.75">
      <c r="K2133" s="1238"/>
    </row>
    <row r="2134" s="390" customFormat="1" ht="15.75">
      <c r="K2134" s="1238"/>
    </row>
    <row r="2135" s="390" customFormat="1" ht="15.75">
      <c r="K2135" s="1238"/>
    </row>
    <row r="2136" s="390" customFormat="1" ht="15.75">
      <c r="K2136" s="1238"/>
    </row>
    <row r="2137" s="390" customFormat="1" ht="15.75">
      <c r="K2137" s="1238"/>
    </row>
    <row r="2138" s="390" customFormat="1" ht="15.75">
      <c r="K2138" s="1238"/>
    </row>
    <row r="2139" s="390" customFormat="1" ht="15.75">
      <c r="K2139" s="1238"/>
    </row>
    <row r="2140" s="390" customFormat="1" ht="15.75">
      <c r="K2140" s="1238"/>
    </row>
    <row r="2141" s="390" customFormat="1" ht="15.75">
      <c r="K2141" s="1238"/>
    </row>
    <row r="2142" s="390" customFormat="1" ht="15.75">
      <c r="K2142" s="1238"/>
    </row>
    <row r="2143" s="390" customFormat="1" ht="15.75">
      <c r="K2143" s="1238"/>
    </row>
    <row r="2144" s="390" customFormat="1" ht="15.75">
      <c r="K2144" s="1238"/>
    </row>
    <row r="2145" s="390" customFormat="1" ht="15.75">
      <c r="K2145" s="1238"/>
    </row>
    <row r="2146" s="390" customFormat="1" ht="15.75">
      <c r="K2146" s="1238"/>
    </row>
    <row r="2147" s="390" customFormat="1" ht="15.75">
      <c r="K2147" s="1238"/>
    </row>
    <row r="2148" s="390" customFormat="1" ht="15.75">
      <c r="K2148" s="1238"/>
    </row>
    <row r="2149" s="390" customFormat="1" ht="15.75">
      <c r="K2149" s="1238"/>
    </row>
    <row r="2150" s="390" customFormat="1" ht="15.75">
      <c r="K2150" s="1238"/>
    </row>
    <row r="2151" s="390" customFormat="1" ht="15.75">
      <c r="K2151" s="1238"/>
    </row>
    <row r="2152" s="390" customFormat="1" ht="15.75">
      <c r="K2152" s="1238"/>
    </row>
    <row r="2153" s="390" customFormat="1" ht="15.75">
      <c r="K2153" s="1238"/>
    </row>
    <row r="2154" s="390" customFormat="1" ht="15.75">
      <c r="K2154" s="1238"/>
    </row>
    <row r="2155" s="390" customFormat="1" ht="15.75">
      <c r="K2155" s="1238"/>
    </row>
    <row r="2156" s="390" customFormat="1" ht="15.75">
      <c r="K2156" s="1238"/>
    </row>
    <row r="2157" s="390" customFormat="1" ht="15.75">
      <c r="K2157" s="1238"/>
    </row>
    <row r="2158" s="390" customFormat="1" ht="15.75">
      <c r="K2158" s="1238"/>
    </row>
    <row r="2159" s="390" customFormat="1" ht="15.75">
      <c r="K2159" s="1238"/>
    </row>
    <row r="2160" s="390" customFormat="1" ht="15.75">
      <c r="K2160" s="1238"/>
    </row>
    <row r="2161" s="390" customFormat="1" ht="15.75">
      <c r="K2161" s="1238"/>
    </row>
    <row r="2162" s="390" customFormat="1" ht="15.75">
      <c r="K2162" s="1238"/>
    </row>
    <row r="2163" s="390" customFormat="1" ht="15.75">
      <c r="K2163" s="1238"/>
    </row>
    <row r="2164" s="390" customFormat="1" ht="15.75">
      <c r="K2164" s="1238"/>
    </row>
    <row r="2165" s="390" customFormat="1" ht="15.75">
      <c r="K2165" s="1238"/>
    </row>
    <row r="2166" s="390" customFormat="1" ht="15.75">
      <c r="K2166" s="1238"/>
    </row>
    <row r="2167" s="390" customFormat="1" ht="15.75">
      <c r="K2167" s="1238"/>
    </row>
    <row r="2168" s="390" customFormat="1" ht="15.75">
      <c r="K2168" s="1238"/>
    </row>
    <row r="2169" s="390" customFormat="1" ht="15.75">
      <c r="K2169" s="1238"/>
    </row>
    <row r="2170" s="390" customFormat="1" ht="15.75">
      <c r="K2170" s="1238"/>
    </row>
    <row r="2171" s="390" customFormat="1" ht="15.75">
      <c r="K2171" s="1238"/>
    </row>
    <row r="2172" s="390" customFormat="1" ht="15.75">
      <c r="K2172" s="1238"/>
    </row>
    <row r="2173" s="390" customFormat="1" ht="15.75">
      <c r="K2173" s="1238"/>
    </row>
    <row r="2174" s="390" customFormat="1" ht="15.75">
      <c r="K2174" s="1238"/>
    </row>
    <row r="2175" s="390" customFormat="1" ht="15.75">
      <c r="K2175" s="1238"/>
    </row>
    <row r="2176" s="390" customFormat="1" ht="15.75">
      <c r="K2176" s="1238"/>
    </row>
    <row r="2177" s="390" customFormat="1" ht="15.75">
      <c r="K2177" s="1238"/>
    </row>
    <row r="2178" s="390" customFormat="1" ht="15.75">
      <c r="K2178" s="1238"/>
    </row>
    <row r="2179" s="390" customFormat="1" ht="15.75">
      <c r="K2179" s="1238"/>
    </row>
    <row r="2180" s="390" customFormat="1" ht="15.75">
      <c r="K2180" s="1238"/>
    </row>
    <row r="2181" s="390" customFormat="1" ht="15.75">
      <c r="K2181" s="1238"/>
    </row>
    <row r="2182" s="390" customFormat="1" ht="15.75">
      <c r="K2182" s="1238"/>
    </row>
    <row r="2183" s="390" customFormat="1" ht="15.75">
      <c r="K2183" s="1238"/>
    </row>
    <row r="2184" s="390" customFormat="1" ht="15.75">
      <c r="K2184" s="1238"/>
    </row>
    <row r="2185" s="390" customFormat="1" ht="15.75">
      <c r="K2185" s="1238"/>
    </row>
    <row r="2186" s="390" customFormat="1" ht="15.75">
      <c r="K2186" s="1238"/>
    </row>
    <row r="2187" s="390" customFormat="1" ht="15.75">
      <c r="K2187" s="1238"/>
    </row>
    <row r="2188" s="390" customFormat="1" ht="15.75">
      <c r="K2188" s="1238"/>
    </row>
    <row r="2189" s="390" customFormat="1" ht="15.75">
      <c r="K2189" s="1238"/>
    </row>
    <row r="2190" s="390" customFormat="1" ht="15.75">
      <c r="K2190" s="1238"/>
    </row>
    <row r="2191" s="390" customFormat="1" ht="15.75">
      <c r="K2191" s="1238"/>
    </row>
    <row r="2192" s="390" customFormat="1" ht="15.75">
      <c r="K2192" s="1238"/>
    </row>
    <row r="2193" s="390" customFormat="1" ht="15.75">
      <c r="K2193" s="1238"/>
    </row>
    <row r="2194" s="390" customFormat="1" ht="15.75">
      <c r="K2194" s="1238"/>
    </row>
    <row r="2195" s="390" customFormat="1" ht="15.75">
      <c r="K2195" s="1238"/>
    </row>
    <row r="2196" s="390" customFormat="1" ht="15.75">
      <c r="K2196" s="1238"/>
    </row>
    <row r="2197" s="390" customFormat="1" ht="15.75">
      <c r="K2197" s="1238"/>
    </row>
    <row r="2198" s="390" customFormat="1" ht="15.75">
      <c r="K2198" s="1238"/>
    </row>
    <row r="2199" s="390" customFormat="1" ht="15.75">
      <c r="K2199" s="1238"/>
    </row>
    <row r="2200" s="390" customFormat="1" ht="15.75">
      <c r="K2200" s="1238"/>
    </row>
    <row r="2201" s="390" customFormat="1" ht="15.75">
      <c r="K2201" s="1238"/>
    </row>
    <row r="2202" s="390" customFormat="1" ht="15.75">
      <c r="K2202" s="1238"/>
    </row>
    <row r="2203" s="390" customFormat="1" ht="15.75">
      <c r="K2203" s="1238"/>
    </row>
    <row r="2204" s="390" customFormat="1" ht="15.75">
      <c r="K2204" s="1238"/>
    </row>
    <row r="2205" s="390" customFormat="1" ht="15.75">
      <c r="K2205" s="1238"/>
    </row>
    <row r="2206" s="390" customFormat="1" ht="15.75">
      <c r="K2206" s="1238"/>
    </row>
    <row r="2207" s="390" customFormat="1" ht="15.75">
      <c r="K2207" s="1238"/>
    </row>
    <row r="2208" s="390" customFormat="1" ht="15.75">
      <c r="K2208" s="1238"/>
    </row>
    <row r="2209" s="390" customFormat="1" ht="15.75">
      <c r="K2209" s="1238"/>
    </row>
    <row r="2210" s="390" customFormat="1" ht="15.75">
      <c r="K2210" s="1238"/>
    </row>
    <row r="2211" s="390" customFormat="1" ht="15.75">
      <c r="K2211" s="1238"/>
    </row>
    <row r="2212" s="390" customFormat="1" ht="15.75">
      <c r="K2212" s="1238"/>
    </row>
    <row r="2213" s="390" customFormat="1" ht="15.75">
      <c r="K2213" s="1238"/>
    </row>
    <row r="2214" s="390" customFormat="1" ht="15.75">
      <c r="K2214" s="1238"/>
    </row>
    <row r="2215" s="390" customFormat="1" ht="15.75">
      <c r="K2215" s="1238"/>
    </row>
    <row r="2216" s="390" customFormat="1" ht="15.75">
      <c r="K2216" s="1238"/>
    </row>
    <row r="2217" s="390" customFormat="1" ht="15.75">
      <c r="K2217" s="1238"/>
    </row>
    <row r="2218" s="390" customFormat="1" ht="15.75">
      <c r="K2218" s="1238"/>
    </row>
    <row r="2219" s="390" customFormat="1" ht="15.75">
      <c r="K2219" s="1238"/>
    </row>
    <row r="2220" s="390" customFormat="1" ht="15.75">
      <c r="K2220" s="1238"/>
    </row>
    <row r="2221" s="390" customFormat="1" ht="15.75">
      <c r="K2221" s="1238"/>
    </row>
    <row r="2222" s="390" customFormat="1" ht="15.75">
      <c r="K2222" s="1238"/>
    </row>
    <row r="2223" s="390" customFormat="1" ht="15.75">
      <c r="K2223" s="1238"/>
    </row>
    <row r="2224" s="390" customFormat="1" ht="15.75">
      <c r="K2224" s="1238"/>
    </row>
    <row r="2225" s="390" customFormat="1" ht="15.75">
      <c r="K2225" s="1238"/>
    </row>
    <row r="2226" s="390" customFormat="1" ht="15.75">
      <c r="K2226" s="1238"/>
    </row>
    <row r="2227" s="390" customFormat="1" ht="15.75">
      <c r="K2227" s="1238"/>
    </row>
    <row r="2228" s="390" customFormat="1" ht="15.75">
      <c r="K2228" s="1238"/>
    </row>
    <row r="2229" s="390" customFormat="1" ht="15.75">
      <c r="K2229" s="1238"/>
    </row>
    <row r="2230" s="390" customFormat="1" ht="15.75">
      <c r="K2230" s="1238"/>
    </row>
    <row r="2231" s="390" customFormat="1" ht="15.75">
      <c r="K2231" s="1238"/>
    </row>
    <row r="2232" s="390" customFormat="1" ht="15.75">
      <c r="K2232" s="1238"/>
    </row>
    <row r="2233" s="390" customFormat="1" ht="15.75">
      <c r="K2233" s="1238"/>
    </row>
    <row r="2234" s="390" customFormat="1" ht="15.75">
      <c r="K2234" s="1238"/>
    </row>
    <row r="2235" s="390" customFormat="1" ht="15.75">
      <c r="K2235" s="1238"/>
    </row>
    <row r="2236" s="390" customFormat="1" ht="15.75">
      <c r="K2236" s="1238"/>
    </row>
    <row r="2237" s="390" customFormat="1" ht="15.75">
      <c r="K2237" s="1238"/>
    </row>
    <row r="2238" s="390" customFormat="1" ht="15.75">
      <c r="K2238" s="1238"/>
    </row>
    <row r="2239" s="390" customFormat="1" ht="15.75">
      <c r="K2239" s="1238"/>
    </row>
    <row r="2240" s="390" customFormat="1" ht="15.75">
      <c r="K2240" s="1238"/>
    </row>
    <row r="2241" s="390" customFormat="1" ht="15.75">
      <c r="K2241" s="1238"/>
    </row>
    <row r="2242" s="390" customFormat="1" ht="15.75">
      <c r="K2242" s="1238"/>
    </row>
    <row r="2243" s="390" customFormat="1" ht="15.75">
      <c r="K2243" s="1238"/>
    </row>
    <row r="2244" s="390" customFormat="1" ht="15.75">
      <c r="K2244" s="1238"/>
    </row>
    <row r="2245" s="390" customFormat="1" ht="15.75">
      <c r="K2245" s="1238"/>
    </row>
    <row r="2246" s="390" customFormat="1" ht="15.75">
      <c r="K2246" s="1238"/>
    </row>
    <row r="2247" s="390" customFormat="1" ht="15.75">
      <c r="K2247" s="1238"/>
    </row>
    <row r="2248" s="390" customFormat="1" ht="15.75">
      <c r="K2248" s="1238"/>
    </row>
    <row r="2249" s="390" customFormat="1" ht="15.75">
      <c r="K2249" s="1238"/>
    </row>
    <row r="2250" s="390" customFormat="1" ht="15.75">
      <c r="K2250" s="1238"/>
    </row>
    <row r="2251" s="390" customFormat="1" ht="15.75">
      <c r="K2251" s="1238"/>
    </row>
    <row r="2252" s="390" customFormat="1" ht="15.75">
      <c r="K2252" s="1238"/>
    </row>
    <row r="2253" s="390" customFormat="1" ht="15.75">
      <c r="K2253" s="1238"/>
    </row>
    <row r="2254" s="390" customFormat="1" ht="15.75">
      <c r="K2254" s="1238"/>
    </row>
    <row r="2255" s="390" customFormat="1" ht="15.75">
      <c r="K2255" s="1238"/>
    </row>
    <row r="2256" s="390" customFormat="1" ht="15.75">
      <c r="K2256" s="1238"/>
    </row>
    <row r="2257" s="390" customFormat="1" ht="15.75">
      <c r="K2257" s="1238"/>
    </row>
    <row r="2258" s="390" customFormat="1" ht="15.75">
      <c r="K2258" s="1238"/>
    </row>
    <row r="2259" s="390" customFormat="1" ht="15.75">
      <c r="K2259" s="1238"/>
    </row>
    <row r="2260" s="390" customFormat="1" ht="15.75">
      <c r="K2260" s="1238"/>
    </row>
    <row r="2261" s="390" customFormat="1" ht="15.75">
      <c r="K2261" s="1238"/>
    </row>
    <row r="2262" s="390" customFormat="1" ht="15.75">
      <c r="K2262" s="1238"/>
    </row>
    <row r="2263" s="390" customFormat="1" ht="15.75">
      <c r="K2263" s="1238"/>
    </row>
    <row r="2264" s="390" customFormat="1" ht="15.75">
      <c r="K2264" s="1238"/>
    </row>
    <row r="2265" s="390" customFormat="1" ht="15.75">
      <c r="K2265" s="1238"/>
    </row>
    <row r="2266" s="390" customFormat="1" ht="15.75">
      <c r="K2266" s="1238"/>
    </row>
    <row r="2267" s="390" customFormat="1" ht="15.75">
      <c r="K2267" s="1238"/>
    </row>
    <row r="2268" s="390" customFormat="1" ht="15.75">
      <c r="K2268" s="1238"/>
    </row>
    <row r="2269" s="390" customFormat="1" ht="15.75">
      <c r="K2269" s="1238"/>
    </row>
    <row r="2270" s="390" customFormat="1" ht="15.75">
      <c r="K2270" s="1238"/>
    </row>
    <row r="2271" s="390" customFormat="1" ht="15.75">
      <c r="K2271" s="1238"/>
    </row>
    <row r="2272" s="390" customFormat="1" ht="15.75">
      <c r="K2272" s="1238"/>
    </row>
    <row r="2273" s="390" customFormat="1" ht="15.75">
      <c r="K2273" s="1238"/>
    </row>
    <row r="2274" s="390" customFormat="1" ht="15.75">
      <c r="K2274" s="1238"/>
    </row>
    <row r="2275" s="390" customFormat="1" ht="15.75">
      <c r="K2275" s="1238"/>
    </row>
    <row r="2276" s="390" customFormat="1" ht="15.75">
      <c r="K2276" s="1238"/>
    </row>
    <row r="2277" s="390" customFormat="1" ht="15.75">
      <c r="K2277" s="1238"/>
    </row>
    <row r="2278" s="390" customFormat="1" ht="15.75">
      <c r="K2278" s="1238"/>
    </row>
    <row r="2279" s="390" customFormat="1" ht="15.75">
      <c r="K2279" s="1238"/>
    </row>
    <row r="2280" s="390" customFormat="1" ht="15.75">
      <c r="K2280" s="1238"/>
    </row>
    <row r="2281" s="390" customFormat="1" ht="15.75">
      <c r="K2281" s="1238"/>
    </row>
    <row r="2282" s="390" customFormat="1" ht="15.75">
      <c r="K2282" s="1238"/>
    </row>
    <row r="2283" s="390" customFormat="1" ht="15.75">
      <c r="K2283" s="1238"/>
    </row>
    <row r="2284" s="390" customFormat="1" ht="15.75">
      <c r="K2284" s="1238"/>
    </row>
    <row r="2285" s="390" customFormat="1" ht="15.75">
      <c r="K2285" s="1238"/>
    </row>
    <row r="2286" s="390" customFormat="1" ht="15.75">
      <c r="K2286" s="1238"/>
    </row>
    <row r="2287" s="390" customFormat="1" ht="15.75">
      <c r="K2287" s="1238"/>
    </row>
    <row r="2288" s="390" customFormat="1" ht="15.75">
      <c r="K2288" s="1238"/>
    </row>
    <row r="2289" s="390" customFormat="1" ht="15.75">
      <c r="K2289" s="1238"/>
    </row>
    <row r="2290" s="390" customFormat="1" ht="15.75">
      <c r="K2290" s="1238"/>
    </row>
    <row r="2291" s="390" customFormat="1" ht="15.75">
      <c r="K2291" s="1238"/>
    </row>
    <row r="2292" s="390" customFormat="1" ht="15.75">
      <c r="K2292" s="1238"/>
    </row>
    <row r="2293" s="390" customFormat="1" ht="15.75">
      <c r="K2293" s="1238"/>
    </row>
    <row r="2294" s="390" customFormat="1" ht="15.75">
      <c r="K2294" s="1238"/>
    </row>
    <row r="2295" s="390" customFormat="1" ht="15.75">
      <c r="K2295" s="1238"/>
    </row>
    <row r="2296" s="390" customFormat="1" ht="15.75">
      <c r="K2296" s="1238"/>
    </row>
    <row r="2297" s="390" customFormat="1" ht="15.75">
      <c r="K2297" s="1238"/>
    </row>
    <row r="2298" s="390" customFormat="1" ht="15.75">
      <c r="K2298" s="1238"/>
    </row>
    <row r="2299" s="390" customFormat="1" ht="15.75">
      <c r="K2299" s="1238"/>
    </row>
    <row r="2300" s="390" customFormat="1" ht="15.75">
      <c r="K2300" s="1238"/>
    </row>
    <row r="2301" s="390" customFormat="1" ht="15.75">
      <c r="K2301" s="1238"/>
    </row>
    <row r="2302" s="390" customFormat="1" ht="15.75">
      <c r="K2302" s="1238"/>
    </row>
    <row r="2303" s="390" customFormat="1" ht="15.75">
      <c r="K2303" s="1238"/>
    </row>
    <row r="2304" s="390" customFormat="1" ht="15.75">
      <c r="K2304" s="1238"/>
    </row>
    <row r="2305" s="390" customFormat="1" ht="15.75">
      <c r="K2305" s="1238"/>
    </row>
    <row r="2306" s="390" customFormat="1" ht="15.75">
      <c r="K2306" s="1238"/>
    </row>
    <row r="2307" s="390" customFormat="1" ht="15.75">
      <c r="K2307" s="1238"/>
    </row>
    <row r="2308" s="390" customFormat="1" ht="15.75">
      <c r="K2308" s="1238"/>
    </row>
    <row r="2309" s="390" customFormat="1" ht="15.75">
      <c r="K2309" s="1238"/>
    </row>
    <row r="2310" s="390" customFormat="1" ht="15.75">
      <c r="K2310" s="1238"/>
    </row>
    <row r="2311" s="390" customFormat="1" ht="15.75">
      <c r="K2311" s="1238"/>
    </row>
    <row r="2312" s="390" customFormat="1" ht="15.75">
      <c r="K2312" s="1238"/>
    </row>
    <row r="2313" s="390" customFormat="1" ht="15.75">
      <c r="K2313" s="1238"/>
    </row>
    <row r="2314" s="390" customFormat="1" ht="15.75">
      <c r="K2314" s="1238"/>
    </row>
    <row r="2315" s="390" customFormat="1" ht="15.75">
      <c r="K2315" s="1238"/>
    </row>
    <row r="2316" s="390" customFormat="1" ht="15.75">
      <c r="K2316" s="1238"/>
    </row>
    <row r="2317" s="390" customFormat="1" ht="15.75">
      <c r="K2317" s="1238"/>
    </row>
    <row r="2318" s="390" customFormat="1" ht="15.75">
      <c r="K2318" s="1238"/>
    </row>
    <row r="2319" s="390" customFormat="1" ht="15.75">
      <c r="K2319" s="1238"/>
    </row>
    <row r="2320" s="390" customFormat="1" ht="15.75">
      <c r="K2320" s="1238"/>
    </row>
    <row r="2321" s="390" customFormat="1" ht="15.75">
      <c r="K2321" s="1238"/>
    </row>
    <row r="2322" s="390" customFormat="1" ht="15.75">
      <c r="K2322" s="1238"/>
    </row>
    <row r="2323" s="390" customFormat="1" ht="15.75">
      <c r="K2323" s="1238"/>
    </row>
    <row r="2324" s="390" customFormat="1" ht="15.75">
      <c r="K2324" s="1238"/>
    </row>
    <row r="2325" s="390" customFormat="1" ht="15.75">
      <c r="K2325" s="1238"/>
    </row>
    <row r="2326" s="390" customFormat="1" ht="15.75">
      <c r="K2326" s="1238"/>
    </row>
    <row r="2327" s="390" customFormat="1" ht="15.75">
      <c r="K2327" s="1238"/>
    </row>
    <row r="2328" s="390" customFormat="1" ht="15.75">
      <c r="K2328" s="1238"/>
    </row>
    <row r="2329" s="390" customFormat="1" ht="15.75">
      <c r="K2329" s="1238"/>
    </row>
    <row r="2330" s="390" customFormat="1" ht="15.75">
      <c r="K2330" s="1238"/>
    </row>
    <row r="2331" s="390" customFormat="1" ht="15.75">
      <c r="K2331" s="1238"/>
    </row>
    <row r="2332" s="390" customFormat="1" ht="15.75">
      <c r="K2332" s="1238"/>
    </row>
    <row r="2333" s="390" customFormat="1" ht="15.75">
      <c r="K2333" s="1238"/>
    </row>
    <row r="2334" s="390" customFormat="1" ht="15.75">
      <c r="K2334" s="1238"/>
    </row>
    <row r="2335" s="390" customFormat="1" ht="15.75">
      <c r="K2335" s="1238"/>
    </row>
    <row r="2336" s="390" customFormat="1" ht="15.75">
      <c r="K2336" s="1238"/>
    </row>
    <row r="2337" s="390" customFormat="1" ht="15.75">
      <c r="K2337" s="1238"/>
    </row>
    <row r="2338" s="390" customFormat="1" ht="15.75">
      <c r="K2338" s="1238"/>
    </row>
    <row r="2339" s="390" customFormat="1" ht="15.75">
      <c r="K2339" s="1238"/>
    </row>
    <row r="2340" s="390" customFormat="1" ht="15.75">
      <c r="K2340" s="1238"/>
    </row>
    <row r="2341" s="390" customFormat="1" ht="15.75">
      <c r="K2341" s="1238"/>
    </row>
    <row r="2342" s="390" customFormat="1" ht="15.75">
      <c r="K2342" s="1238"/>
    </row>
    <row r="2343" s="390" customFormat="1" ht="15.75">
      <c r="K2343" s="1238"/>
    </row>
    <row r="2344" s="390" customFormat="1" ht="15.75">
      <c r="K2344" s="1238"/>
    </row>
    <row r="2345" s="390" customFormat="1" ht="15.75">
      <c r="K2345" s="1238"/>
    </row>
    <row r="2346" s="390" customFormat="1" ht="15.75">
      <c r="K2346" s="1238"/>
    </row>
    <row r="2347" s="390" customFormat="1" ht="15.75">
      <c r="K2347" s="1238"/>
    </row>
    <row r="2348" s="390" customFormat="1" ht="15.75">
      <c r="K2348" s="1238"/>
    </row>
    <row r="2349" s="390" customFormat="1" ht="15.75">
      <c r="K2349" s="1238"/>
    </row>
    <row r="2350" s="390" customFormat="1" ht="15.75">
      <c r="K2350" s="1238"/>
    </row>
    <row r="2351" s="390" customFormat="1" ht="15.75">
      <c r="K2351" s="1238"/>
    </row>
    <row r="2352" s="390" customFormat="1" ht="15.75">
      <c r="K2352" s="1238"/>
    </row>
    <row r="2353" s="390" customFormat="1" ht="15.75">
      <c r="K2353" s="1238"/>
    </row>
    <row r="2354" s="390" customFormat="1" ht="15.75">
      <c r="K2354" s="1238"/>
    </row>
    <row r="2355" s="390" customFormat="1" ht="15.75">
      <c r="K2355" s="1238"/>
    </row>
    <row r="2356" s="390" customFormat="1" ht="15.75">
      <c r="K2356" s="1238"/>
    </row>
    <row r="2357" s="390" customFormat="1" ht="15.75">
      <c r="K2357" s="1238"/>
    </row>
    <row r="2358" s="390" customFormat="1" ht="15.75">
      <c r="K2358" s="1238"/>
    </row>
    <row r="2359" s="390" customFormat="1" ht="15.75">
      <c r="K2359" s="1238"/>
    </row>
    <row r="2360" s="390" customFormat="1" ht="15.75">
      <c r="K2360" s="1238"/>
    </row>
    <row r="2361" s="390" customFormat="1" ht="15.75">
      <c r="K2361" s="1238"/>
    </row>
    <row r="2362" s="390" customFormat="1" ht="15.75">
      <c r="K2362" s="1238"/>
    </row>
    <row r="2363" s="390" customFormat="1" ht="15.75">
      <c r="K2363" s="1238"/>
    </row>
    <row r="2364" s="390" customFormat="1" ht="15.75">
      <c r="K2364" s="1238"/>
    </row>
    <row r="2365" s="390" customFormat="1" ht="15.75">
      <c r="K2365" s="1238"/>
    </row>
    <row r="2366" s="390" customFormat="1" ht="15.75">
      <c r="K2366" s="1238"/>
    </row>
    <row r="2367" s="390" customFormat="1" ht="15.75">
      <c r="K2367" s="1238"/>
    </row>
    <row r="2368" s="390" customFormat="1" ht="15.75">
      <c r="K2368" s="1238"/>
    </row>
    <row r="2369" s="390" customFormat="1" ht="15.75">
      <c r="K2369" s="1238"/>
    </row>
    <row r="2370" s="390" customFormat="1" ht="15.75">
      <c r="K2370" s="1238"/>
    </row>
    <row r="2371" s="390" customFormat="1" ht="15.75">
      <c r="K2371" s="1238"/>
    </row>
    <row r="2372" s="390" customFormat="1" ht="15.75">
      <c r="K2372" s="1238"/>
    </row>
    <row r="2373" s="390" customFormat="1" ht="15.75">
      <c r="K2373" s="1238"/>
    </row>
    <row r="2374" s="390" customFormat="1" ht="15.75">
      <c r="K2374" s="1238"/>
    </row>
    <row r="2375" s="390" customFormat="1" ht="15.75">
      <c r="K2375" s="1238"/>
    </row>
    <row r="2376" s="390" customFormat="1" ht="15.75">
      <c r="K2376" s="1238"/>
    </row>
    <row r="2377" s="390" customFormat="1" ht="15.75">
      <c r="K2377" s="1238"/>
    </row>
    <row r="2378" s="390" customFormat="1" ht="15.75">
      <c r="K2378" s="1238"/>
    </row>
    <row r="2379" s="390" customFormat="1" ht="15.75">
      <c r="K2379" s="1238"/>
    </row>
    <row r="2380" s="390" customFormat="1" ht="15.75">
      <c r="K2380" s="1238"/>
    </row>
    <row r="2381" s="390" customFormat="1" ht="15.75">
      <c r="K2381" s="1238"/>
    </row>
    <row r="2382" s="390" customFormat="1" ht="15.75">
      <c r="K2382" s="1238"/>
    </row>
    <row r="2383" s="390" customFormat="1" ht="15.75">
      <c r="K2383" s="1238"/>
    </row>
    <row r="2384" s="390" customFormat="1" ht="15.75">
      <c r="K2384" s="1238"/>
    </row>
    <row r="2385" s="390" customFormat="1" ht="15.75">
      <c r="K2385" s="1238"/>
    </row>
    <row r="2386" s="390" customFormat="1" ht="15.75">
      <c r="K2386" s="1238"/>
    </row>
    <row r="2387" s="390" customFormat="1" ht="15.75">
      <c r="K2387" s="1238"/>
    </row>
    <row r="2388" s="390" customFormat="1" ht="15.75">
      <c r="K2388" s="1238"/>
    </row>
    <row r="2389" s="390" customFormat="1" ht="15.75">
      <c r="K2389" s="1238"/>
    </row>
    <row r="2390" s="390" customFormat="1" ht="15.75">
      <c r="K2390" s="1238"/>
    </row>
    <row r="2391" s="390" customFormat="1" ht="15.75">
      <c r="K2391" s="1238"/>
    </row>
    <row r="2392" s="390" customFormat="1" ht="15.75">
      <c r="K2392" s="1238"/>
    </row>
    <row r="2393" s="390" customFormat="1" ht="15.75">
      <c r="K2393" s="1238"/>
    </row>
    <row r="2394" s="390" customFormat="1" ht="15.75">
      <c r="K2394" s="1238"/>
    </row>
    <row r="2395" s="390" customFormat="1" ht="15.75">
      <c r="K2395" s="1238"/>
    </row>
    <row r="2396" s="390" customFormat="1" ht="15.75">
      <c r="K2396" s="1238"/>
    </row>
    <row r="2397" s="390" customFormat="1" ht="15.75">
      <c r="K2397" s="1238"/>
    </row>
    <row r="2398" s="390" customFormat="1" ht="15.75">
      <c r="K2398" s="1238"/>
    </row>
    <row r="2399" s="390" customFormat="1" ht="15.75">
      <c r="K2399" s="1238"/>
    </row>
    <row r="2400" s="390" customFormat="1" ht="15.75">
      <c r="K2400" s="1238"/>
    </row>
    <row r="2401" s="390" customFormat="1" ht="15.75">
      <c r="K2401" s="1238"/>
    </row>
    <row r="2402" s="390" customFormat="1" ht="15.75">
      <c r="K2402" s="1238"/>
    </row>
    <row r="2403" s="390" customFormat="1" ht="15.75">
      <c r="K2403" s="1238"/>
    </row>
    <row r="2404" s="390" customFormat="1" ht="15.75">
      <c r="K2404" s="1238"/>
    </row>
    <row r="2405" s="390" customFormat="1" ht="15.75">
      <c r="K2405" s="1238"/>
    </row>
    <row r="2406" s="390" customFormat="1" ht="15.75">
      <c r="K2406" s="1238"/>
    </row>
    <row r="2407" s="390" customFormat="1" ht="15.75">
      <c r="K2407" s="1238"/>
    </row>
    <row r="2408" s="390" customFormat="1" ht="15.75">
      <c r="K2408" s="1238"/>
    </row>
    <row r="2409" s="390" customFormat="1" ht="15.75">
      <c r="K2409" s="1238"/>
    </row>
    <row r="2410" s="390" customFormat="1" ht="15.75">
      <c r="K2410" s="1238"/>
    </row>
    <row r="2411" s="390" customFormat="1" ht="15.75">
      <c r="K2411" s="1238"/>
    </row>
    <row r="2412" s="390" customFormat="1" ht="15.75">
      <c r="K2412" s="1238"/>
    </row>
    <row r="2413" s="390" customFormat="1" ht="15.75">
      <c r="K2413" s="1238"/>
    </row>
    <row r="2414" s="390" customFormat="1" ht="15.75">
      <c r="K2414" s="1238"/>
    </row>
    <row r="2415" s="390" customFormat="1" ht="15.75">
      <c r="K2415" s="1238"/>
    </row>
    <row r="2416" s="390" customFormat="1" ht="15.75">
      <c r="K2416" s="1238"/>
    </row>
    <row r="2417" s="390" customFormat="1" ht="15.75">
      <c r="K2417" s="1238"/>
    </row>
    <row r="2418" s="390" customFormat="1" ht="15.75">
      <c r="K2418" s="1238"/>
    </row>
    <row r="2419" s="390" customFormat="1" ht="15.75">
      <c r="K2419" s="1238"/>
    </row>
    <row r="2420" s="390" customFormat="1" ht="15.75">
      <c r="K2420" s="1238"/>
    </row>
    <row r="2421" s="390" customFormat="1" ht="15.75">
      <c r="K2421" s="1238"/>
    </row>
    <row r="2422" s="390" customFormat="1" ht="15.75">
      <c r="K2422" s="1238"/>
    </row>
    <row r="2423" s="390" customFormat="1" ht="15.75">
      <c r="K2423" s="1238"/>
    </row>
    <row r="2424" s="390" customFormat="1" ht="15.75">
      <c r="K2424" s="1238"/>
    </row>
    <row r="2425" s="390" customFormat="1" ht="15.75">
      <c r="K2425" s="1238"/>
    </row>
    <row r="2426" s="390" customFormat="1" ht="15.75">
      <c r="K2426" s="1238"/>
    </row>
    <row r="2427" s="390" customFormat="1" ht="15.75">
      <c r="K2427" s="1238"/>
    </row>
    <row r="2428" s="390" customFormat="1" ht="15.75">
      <c r="K2428" s="1238"/>
    </row>
    <row r="2429" s="390" customFormat="1" ht="15.75">
      <c r="K2429" s="1238"/>
    </row>
    <row r="2430" s="390" customFormat="1" ht="15.75">
      <c r="K2430" s="1238"/>
    </row>
    <row r="2431" s="390" customFormat="1" ht="15.75">
      <c r="K2431" s="1238"/>
    </row>
    <row r="2432" s="390" customFormat="1" ht="15.75">
      <c r="K2432" s="1238"/>
    </row>
    <row r="2433" s="390" customFormat="1" ht="15.75">
      <c r="K2433" s="1238"/>
    </row>
    <row r="2434" s="390" customFormat="1" ht="15.75">
      <c r="K2434" s="1238"/>
    </row>
    <row r="2435" s="390" customFormat="1" ht="15.75">
      <c r="K2435" s="1238"/>
    </row>
    <row r="2436" s="390" customFormat="1" ht="15.75">
      <c r="K2436" s="1238"/>
    </row>
    <row r="2437" s="390" customFormat="1" ht="15.75">
      <c r="K2437" s="1238"/>
    </row>
    <row r="2438" s="390" customFormat="1" ht="15.75">
      <c r="K2438" s="1238"/>
    </row>
    <row r="2439" s="390" customFormat="1" ht="15.75">
      <c r="K2439" s="1238"/>
    </row>
    <row r="2440" s="390" customFormat="1" ht="15.75">
      <c r="K2440" s="1238"/>
    </row>
    <row r="2441" s="390" customFormat="1" ht="15.75">
      <c r="K2441" s="1238"/>
    </row>
    <row r="2442" s="390" customFormat="1" ht="15.75">
      <c r="K2442" s="1238"/>
    </row>
    <row r="2443" s="390" customFormat="1" ht="15.75">
      <c r="K2443" s="1238"/>
    </row>
    <row r="2444" s="390" customFormat="1" ht="15.75">
      <c r="K2444" s="1238"/>
    </row>
    <row r="2445" s="390" customFormat="1" ht="15.75">
      <c r="K2445" s="1238"/>
    </row>
    <row r="2446" s="390" customFormat="1" ht="15.75">
      <c r="K2446" s="1238"/>
    </row>
    <row r="2447" s="390" customFormat="1" ht="15.75">
      <c r="K2447" s="1238"/>
    </row>
    <row r="2448" s="390" customFormat="1" ht="15.75">
      <c r="K2448" s="1238"/>
    </row>
    <row r="2449" s="390" customFormat="1" ht="15.75">
      <c r="K2449" s="1238"/>
    </row>
    <row r="2450" s="390" customFormat="1" ht="15.75">
      <c r="K2450" s="1238"/>
    </row>
    <row r="2451" s="390" customFormat="1" ht="15.75">
      <c r="K2451" s="1238"/>
    </row>
    <row r="2452" s="390" customFormat="1" ht="15.75">
      <c r="K2452" s="1238"/>
    </row>
    <row r="2453" s="390" customFormat="1" ht="15.75">
      <c r="K2453" s="1238"/>
    </row>
    <row r="2454" s="390" customFormat="1" ht="15.75">
      <c r="K2454" s="1238"/>
    </row>
    <row r="2455" s="390" customFormat="1" ht="15.75">
      <c r="K2455" s="1238"/>
    </row>
    <row r="2456" s="390" customFormat="1" ht="15.75">
      <c r="K2456" s="1238"/>
    </row>
    <row r="2457" s="390" customFormat="1" ht="15.75">
      <c r="K2457" s="1238"/>
    </row>
    <row r="2458" s="390" customFormat="1" ht="15.75">
      <c r="K2458" s="1238"/>
    </row>
    <row r="2459" s="390" customFormat="1" ht="15.75">
      <c r="K2459" s="1238"/>
    </row>
    <row r="2460" s="390" customFormat="1" ht="15.75">
      <c r="K2460" s="1238"/>
    </row>
    <row r="2461" s="390" customFormat="1" ht="15.75">
      <c r="K2461" s="1238"/>
    </row>
    <row r="2462" s="390" customFormat="1" ht="15.75">
      <c r="K2462" s="1238"/>
    </row>
    <row r="2463" s="390" customFormat="1" ht="15.75">
      <c r="K2463" s="1238"/>
    </row>
    <row r="2464" s="390" customFormat="1" ht="15.75">
      <c r="K2464" s="1238"/>
    </row>
    <row r="2465" s="390" customFormat="1" ht="15.75">
      <c r="K2465" s="1238"/>
    </row>
    <row r="2466" s="390" customFormat="1" ht="15.75">
      <c r="K2466" s="1238"/>
    </row>
    <row r="2467" s="390" customFormat="1" ht="15.75">
      <c r="K2467" s="1238"/>
    </row>
    <row r="2468" s="390" customFormat="1" ht="15.75">
      <c r="K2468" s="1238"/>
    </row>
    <row r="2469" s="390" customFormat="1" ht="15.75">
      <c r="K2469" s="1238"/>
    </row>
    <row r="2470" s="390" customFormat="1" ht="15.75">
      <c r="K2470" s="1238"/>
    </row>
    <row r="2471" s="390" customFormat="1" ht="15.75">
      <c r="K2471" s="1238"/>
    </row>
    <row r="2472" s="390" customFormat="1" ht="15.75">
      <c r="K2472" s="1238"/>
    </row>
    <row r="2473" s="390" customFormat="1" ht="15.75">
      <c r="K2473" s="1238"/>
    </row>
    <row r="2474" s="390" customFormat="1" ht="15.75">
      <c r="K2474" s="1238"/>
    </row>
    <row r="2475" s="390" customFormat="1" ht="15.75">
      <c r="K2475" s="1238"/>
    </row>
    <row r="2476" s="390" customFormat="1" ht="15.75">
      <c r="K2476" s="1238"/>
    </row>
    <row r="2477" s="390" customFormat="1" ht="15.75">
      <c r="K2477" s="1238"/>
    </row>
    <row r="2478" s="390" customFormat="1" ht="15.75">
      <c r="K2478" s="1238"/>
    </row>
    <row r="2479" s="390" customFormat="1" ht="15.75">
      <c r="K2479" s="1238"/>
    </row>
    <row r="2480" s="390" customFormat="1" ht="15.75">
      <c r="K2480" s="1238"/>
    </row>
    <row r="2481" s="390" customFormat="1" ht="15.75">
      <c r="K2481" s="1238"/>
    </row>
    <row r="2482" s="390" customFormat="1" ht="15.75">
      <c r="K2482" s="1238"/>
    </row>
    <row r="2483" s="390" customFormat="1" ht="15.75">
      <c r="K2483" s="1238"/>
    </row>
    <row r="2484" s="390" customFormat="1" ht="15.75">
      <c r="K2484" s="1238"/>
    </row>
    <row r="2485" s="390" customFormat="1" ht="15.75">
      <c r="K2485" s="1238"/>
    </row>
    <row r="2486" s="390" customFormat="1" ht="15.75">
      <c r="K2486" s="1238"/>
    </row>
    <row r="2487" s="390" customFormat="1" ht="15.75">
      <c r="K2487" s="1238"/>
    </row>
    <row r="2488" s="390" customFormat="1" ht="15.75">
      <c r="K2488" s="1238"/>
    </row>
    <row r="2489" s="390" customFormat="1" ht="15.75">
      <c r="K2489" s="1238"/>
    </row>
    <row r="2490" s="390" customFormat="1" ht="15.75">
      <c r="K2490" s="1238"/>
    </row>
    <row r="2491" s="390" customFormat="1" ht="15.75">
      <c r="K2491" s="1238"/>
    </row>
    <row r="2492" s="390" customFormat="1" ht="15.75">
      <c r="K2492" s="1238"/>
    </row>
    <row r="2493" s="390" customFormat="1" ht="15.75">
      <c r="K2493" s="1238"/>
    </row>
    <row r="2494" s="390" customFormat="1" ht="15.75">
      <c r="K2494" s="1238"/>
    </row>
    <row r="2495" s="390" customFormat="1" ht="15.75">
      <c r="K2495" s="1238"/>
    </row>
    <row r="2496" s="390" customFormat="1" ht="15.75">
      <c r="K2496" s="1238"/>
    </row>
    <row r="2497" s="390" customFormat="1" ht="15.75">
      <c r="K2497" s="1238"/>
    </row>
    <row r="2498" s="390" customFormat="1" ht="15.75">
      <c r="K2498" s="1238"/>
    </row>
    <row r="2499" s="390" customFormat="1" ht="15.75">
      <c r="K2499" s="1238"/>
    </row>
    <row r="2500" s="390" customFormat="1" ht="15.75">
      <c r="K2500" s="1238"/>
    </row>
    <row r="2501" s="390" customFormat="1" ht="15.75">
      <c r="K2501" s="1238"/>
    </row>
    <row r="2502" s="390" customFormat="1" ht="15.75">
      <c r="K2502" s="1238"/>
    </row>
    <row r="2503" s="390" customFormat="1" ht="15.75">
      <c r="K2503" s="1238"/>
    </row>
    <row r="2504" s="390" customFormat="1" ht="15.75">
      <c r="K2504" s="1238"/>
    </row>
    <row r="2505" s="390" customFormat="1" ht="15.75">
      <c r="K2505" s="1238"/>
    </row>
    <row r="2506" s="390" customFormat="1" ht="15.75">
      <c r="K2506" s="1238"/>
    </row>
    <row r="2507" s="390" customFormat="1" ht="15.75">
      <c r="K2507" s="1238"/>
    </row>
    <row r="2508" s="390" customFormat="1" ht="15.75">
      <c r="K2508" s="1238"/>
    </row>
    <row r="2509" s="390" customFormat="1" ht="15.75">
      <c r="K2509" s="1238"/>
    </row>
    <row r="2510" s="390" customFormat="1" ht="15.75">
      <c r="K2510" s="1238"/>
    </row>
    <row r="2511" s="390" customFormat="1" ht="15.75">
      <c r="K2511" s="1238"/>
    </row>
    <row r="2512" s="390" customFormat="1" ht="15.75">
      <c r="K2512" s="1238"/>
    </row>
    <row r="2513" s="390" customFormat="1" ht="15.75">
      <c r="K2513" s="1238"/>
    </row>
    <row r="2514" s="390" customFormat="1" ht="15.75">
      <c r="K2514" s="1238"/>
    </row>
    <row r="2515" s="390" customFormat="1" ht="15.75">
      <c r="K2515" s="1238"/>
    </row>
    <row r="2516" s="390" customFormat="1" ht="15.75">
      <c r="K2516" s="1238"/>
    </row>
    <row r="2517" s="390" customFormat="1" ht="15.75">
      <c r="K2517" s="1238"/>
    </row>
    <row r="2518" s="390" customFormat="1" ht="15.75">
      <c r="K2518" s="1238"/>
    </row>
    <row r="2519" s="390" customFormat="1" ht="15.75">
      <c r="K2519" s="1238"/>
    </row>
    <row r="2520" s="390" customFormat="1" ht="15.75">
      <c r="K2520" s="1238"/>
    </row>
    <row r="2521" s="390" customFormat="1" ht="15.75">
      <c r="K2521" s="1238"/>
    </row>
    <row r="2522" s="390" customFormat="1" ht="15.75">
      <c r="K2522" s="1238"/>
    </row>
    <row r="2523" s="390" customFormat="1" ht="15.75">
      <c r="K2523" s="1238"/>
    </row>
    <row r="2524" s="390" customFormat="1" ht="15.75">
      <c r="K2524" s="1238"/>
    </row>
    <row r="2525" s="390" customFormat="1" ht="15.75">
      <c r="K2525" s="1238"/>
    </row>
    <row r="2526" s="390" customFormat="1" ht="15.75">
      <c r="K2526" s="1238"/>
    </row>
    <row r="2527" s="390" customFormat="1" ht="15.75">
      <c r="K2527" s="1238"/>
    </row>
    <row r="2528" s="390" customFormat="1" ht="15.75">
      <c r="K2528" s="1238"/>
    </row>
    <row r="2529" s="390" customFormat="1" ht="15.75">
      <c r="K2529" s="1238"/>
    </row>
    <row r="2530" s="390" customFormat="1" ht="15.75">
      <c r="K2530" s="1238"/>
    </row>
    <row r="2531" s="390" customFormat="1" ht="15.75">
      <c r="K2531" s="1238"/>
    </row>
    <row r="2532" s="390" customFormat="1" ht="15.75">
      <c r="K2532" s="1238"/>
    </row>
    <row r="2533" s="390" customFormat="1" ht="15.75">
      <c r="K2533" s="1238"/>
    </row>
    <row r="2534" s="390" customFormat="1" ht="15.75">
      <c r="K2534" s="1238"/>
    </row>
    <row r="2535" s="390" customFormat="1" ht="15.75">
      <c r="K2535" s="1238"/>
    </row>
    <row r="2536" s="390" customFormat="1" ht="15.75">
      <c r="K2536" s="1238"/>
    </row>
    <row r="2537" s="390" customFormat="1" ht="15.75">
      <c r="K2537" s="1238"/>
    </row>
    <row r="2538" s="390" customFormat="1" ht="15.75">
      <c r="K2538" s="1238"/>
    </row>
    <row r="2539" s="390" customFormat="1" ht="15.75">
      <c r="K2539" s="1238"/>
    </row>
    <row r="2540" s="390" customFormat="1" ht="15.75">
      <c r="K2540" s="1238"/>
    </row>
    <row r="2541" s="390" customFormat="1" ht="15.75">
      <c r="K2541" s="1238"/>
    </row>
    <row r="2542" s="390" customFormat="1" ht="15.75">
      <c r="K2542" s="1238"/>
    </row>
    <row r="2543" s="390" customFormat="1" ht="15.75">
      <c r="K2543" s="1238"/>
    </row>
    <row r="2544" s="390" customFormat="1" ht="15.75">
      <c r="K2544" s="1238"/>
    </row>
    <row r="2545" s="390" customFormat="1" ht="15.75">
      <c r="K2545" s="1238"/>
    </row>
    <row r="2546" s="390" customFormat="1" ht="15.75">
      <c r="K2546" s="1238"/>
    </row>
    <row r="2547" s="390" customFormat="1" ht="15.75">
      <c r="K2547" s="1238"/>
    </row>
    <row r="2548" s="390" customFormat="1" ht="15.75">
      <c r="K2548" s="1238"/>
    </row>
    <row r="2549" s="390" customFormat="1" ht="15.75">
      <c r="K2549" s="1238"/>
    </row>
    <row r="2550" s="390" customFormat="1" ht="15.75">
      <c r="K2550" s="1238"/>
    </row>
    <row r="2551" s="390" customFormat="1" ht="15.75">
      <c r="K2551" s="1238"/>
    </row>
    <row r="2552" s="390" customFormat="1" ht="15.75">
      <c r="K2552" s="1238"/>
    </row>
    <row r="2553" s="390" customFormat="1" ht="15.75">
      <c r="K2553" s="1238"/>
    </row>
    <row r="2554" s="390" customFormat="1" ht="15.75">
      <c r="K2554" s="1238"/>
    </row>
    <row r="2555" s="390" customFormat="1" ht="15.75">
      <c r="K2555" s="1238"/>
    </row>
    <row r="2556" s="390" customFormat="1" ht="15.75">
      <c r="K2556" s="1238"/>
    </row>
    <row r="2557" s="390" customFormat="1" ht="15.75">
      <c r="K2557" s="1238"/>
    </row>
    <row r="2558" s="390" customFormat="1" ht="15.75">
      <c r="K2558" s="1238"/>
    </row>
    <row r="2559" s="390" customFormat="1" ht="15.75">
      <c r="K2559" s="1238"/>
    </row>
    <row r="2560" s="390" customFormat="1" ht="15.75">
      <c r="K2560" s="1238"/>
    </row>
    <row r="2561" s="390" customFormat="1" ht="15.75">
      <c r="K2561" s="1238"/>
    </row>
    <row r="2562" s="390" customFormat="1" ht="15.75">
      <c r="K2562" s="1238"/>
    </row>
    <row r="2563" s="390" customFormat="1" ht="15.75">
      <c r="K2563" s="1238"/>
    </row>
    <row r="2564" s="390" customFormat="1" ht="15.75">
      <c r="K2564" s="1238"/>
    </row>
    <row r="2565" s="390" customFormat="1" ht="15.75">
      <c r="K2565" s="1238"/>
    </row>
    <row r="2566" s="390" customFormat="1" ht="15.75">
      <c r="K2566" s="1238"/>
    </row>
    <row r="2567" s="390" customFormat="1" ht="15.75">
      <c r="K2567" s="1238"/>
    </row>
    <row r="2568" s="390" customFormat="1" ht="15.75">
      <c r="K2568" s="1238"/>
    </row>
    <row r="2569" s="390" customFormat="1" ht="15.75">
      <c r="K2569" s="1238"/>
    </row>
    <row r="2570" s="390" customFormat="1" ht="15.75">
      <c r="K2570" s="1238"/>
    </row>
    <row r="2571" s="390" customFormat="1" ht="15.75">
      <c r="K2571" s="1238"/>
    </row>
    <row r="2572" s="390" customFormat="1" ht="15.75">
      <c r="K2572" s="1238"/>
    </row>
    <row r="2573" s="390" customFormat="1" ht="15.75">
      <c r="K2573" s="1238"/>
    </row>
    <row r="2574" s="390" customFormat="1" ht="15.75">
      <c r="K2574" s="1238"/>
    </row>
    <row r="2575" s="390" customFormat="1" ht="15.75">
      <c r="K2575" s="1238"/>
    </row>
    <row r="2576" s="390" customFormat="1" ht="15.75">
      <c r="K2576" s="1238"/>
    </row>
    <row r="2577" s="390" customFormat="1" ht="15.75">
      <c r="K2577" s="1238"/>
    </row>
    <row r="2578" s="390" customFormat="1" ht="15.75">
      <c r="K2578" s="1238"/>
    </row>
    <row r="2579" s="390" customFormat="1" ht="15.75">
      <c r="K2579" s="1238"/>
    </row>
    <row r="2580" s="390" customFormat="1" ht="15.75">
      <c r="K2580" s="1238"/>
    </row>
    <row r="2581" s="390" customFormat="1" ht="15.75">
      <c r="K2581" s="1238"/>
    </row>
    <row r="2582" s="390" customFormat="1" ht="15.75">
      <c r="K2582" s="1238"/>
    </row>
    <row r="2583" s="390" customFormat="1" ht="15.75">
      <c r="K2583" s="1238"/>
    </row>
    <row r="2584" s="390" customFormat="1" ht="15.75">
      <c r="K2584" s="1238"/>
    </row>
    <row r="2585" s="390" customFormat="1" ht="15.75">
      <c r="K2585" s="1238"/>
    </row>
    <row r="2586" s="390" customFormat="1" ht="15.75">
      <c r="K2586" s="1238"/>
    </row>
    <row r="2587" s="390" customFormat="1" ht="15.75">
      <c r="K2587" s="1238"/>
    </row>
    <row r="2588" s="390" customFormat="1" ht="15.75">
      <c r="K2588" s="1238"/>
    </row>
    <row r="2589" s="390" customFormat="1" ht="15.75">
      <c r="K2589" s="1238"/>
    </row>
    <row r="2590" s="390" customFormat="1" ht="15.75">
      <c r="K2590" s="1238"/>
    </row>
    <row r="2591" s="390" customFormat="1" ht="15.75">
      <c r="K2591" s="1238"/>
    </row>
    <row r="2592" s="390" customFormat="1" ht="15.75">
      <c r="K2592" s="1238"/>
    </row>
    <row r="2593" s="390" customFormat="1" ht="15.75">
      <c r="K2593" s="1238"/>
    </row>
    <row r="2594" s="390" customFormat="1" ht="15.75">
      <c r="K2594" s="1238"/>
    </row>
    <row r="2595" s="390" customFormat="1" ht="15.75">
      <c r="K2595" s="1238"/>
    </row>
    <row r="2596" s="390" customFormat="1" ht="15.75">
      <c r="K2596" s="1238"/>
    </row>
    <row r="2597" s="390" customFormat="1" ht="15.75">
      <c r="K2597" s="1238"/>
    </row>
    <row r="2598" s="390" customFormat="1" ht="15.75">
      <c r="K2598" s="1238"/>
    </row>
    <row r="2599" s="390" customFormat="1" ht="15.75">
      <c r="K2599" s="1238"/>
    </row>
    <row r="2600" s="390" customFormat="1" ht="15.75">
      <c r="K2600" s="1238"/>
    </row>
    <row r="2601" s="390" customFormat="1" ht="15.75">
      <c r="K2601" s="1238"/>
    </row>
    <row r="2602" s="390" customFormat="1" ht="15.75">
      <c r="K2602" s="1238"/>
    </row>
    <row r="2603" s="390" customFormat="1" ht="15.75">
      <c r="K2603" s="1238"/>
    </row>
    <row r="2604" s="390" customFormat="1" ht="15.75">
      <c r="K2604" s="1238"/>
    </row>
    <row r="2605" s="390" customFormat="1" ht="15.75">
      <c r="K2605" s="1238"/>
    </row>
    <row r="2606" s="390" customFormat="1" ht="15.75">
      <c r="K2606" s="1238"/>
    </row>
    <row r="2607" s="390" customFormat="1" ht="15.75">
      <c r="K2607" s="1238"/>
    </row>
    <row r="2608" s="390" customFormat="1" ht="15.75">
      <c r="K2608" s="1238"/>
    </row>
    <row r="2609" s="390" customFormat="1" ht="15.75">
      <c r="K2609" s="1238"/>
    </row>
    <row r="2610" s="390" customFormat="1" ht="15.75">
      <c r="K2610" s="1238"/>
    </row>
    <row r="2611" s="390" customFormat="1" ht="15.75">
      <c r="K2611" s="1238"/>
    </row>
    <row r="2612" s="390" customFormat="1" ht="15.75">
      <c r="K2612" s="1238"/>
    </row>
    <row r="2613" s="390" customFormat="1" ht="15.75">
      <c r="K2613" s="1238"/>
    </row>
    <row r="2614" s="390" customFormat="1" ht="15.75">
      <c r="K2614" s="1238"/>
    </row>
    <row r="2615" s="390" customFormat="1" ht="15.75">
      <c r="K2615" s="1238"/>
    </row>
    <row r="2616" s="390" customFormat="1" ht="15.75">
      <c r="K2616" s="1238"/>
    </row>
    <row r="2617" s="390" customFormat="1" ht="15.75">
      <c r="K2617" s="1238"/>
    </row>
    <row r="2618" s="390" customFormat="1" ht="15.75">
      <c r="K2618" s="1238"/>
    </row>
    <row r="2619" s="390" customFormat="1" ht="15.75">
      <c r="K2619" s="1238"/>
    </row>
    <row r="2620" s="390" customFormat="1" ht="15.75">
      <c r="K2620" s="1238"/>
    </row>
    <row r="2621" s="390" customFormat="1" ht="15.75">
      <c r="K2621" s="1238"/>
    </row>
    <row r="2622" s="390" customFormat="1" ht="15.75">
      <c r="K2622" s="1238"/>
    </row>
    <row r="2623" s="390" customFormat="1" ht="15.75">
      <c r="K2623" s="1238"/>
    </row>
    <row r="2624" s="390" customFormat="1" ht="15.75">
      <c r="K2624" s="1238"/>
    </row>
    <row r="2625" s="390" customFormat="1" ht="15.75">
      <c r="K2625" s="1238"/>
    </row>
    <row r="2626" s="390" customFormat="1" ht="15.75">
      <c r="K2626" s="1238"/>
    </row>
    <row r="2627" s="390" customFormat="1" ht="15.75">
      <c r="K2627" s="1238"/>
    </row>
    <row r="2628" s="390" customFormat="1" ht="15.75">
      <c r="K2628" s="1238"/>
    </row>
    <row r="2629" s="390" customFormat="1" ht="15.75">
      <c r="K2629" s="1238"/>
    </row>
    <row r="2630" s="390" customFormat="1" ht="15.75">
      <c r="K2630" s="1238"/>
    </row>
    <row r="2631" s="390" customFormat="1" ht="15.75">
      <c r="K2631" s="1238"/>
    </row>
    <row r="2632" s="390" customFormat="1" ht="15.75">
      <c r="K2632" s="1238"/>
    </row>
    <row r="2633" s="390" customFormat="1" ht="15.75">
      <c r="K2633" s="1238"/>
    </row>
    <row r="2634" s="390" customFormat="1" ht="15.75">
      <c r="K2634" s="1238"/>
    </row>
    <row r="2635" s="390" customFormat="1" ht="15.75">
      <c r="K2635" s="1238"/>
    </row>
    <row r="2636" s="390" customFormat="1" ht="15.75">
      <c r="K2636" s="1238"/>
    </row>
    <row r="2637" s="390" customFormat="1" ht="15.75">
      <c r="K2637" s="1238"/>
    </row>
    <row r="2638" s="390" customFormat="1" ht="15.75">
      <c r="K2638" s="1238"/>
    </row>
    <row r="2639" s="390" customFormat="1" ht="15.75">
      <c r="K2639" s="1238"/>
    </row>
    <row r="2640" s="390" customFormat="1" ht="15.75">
      <c r="K2640" s="1238"/>
    </row>
    <row r="2641" s="390" customFormat="1" ht="15.75">
      <c r="K2641" s="1238"/>
    </row>
    <row r="2642" s="390" customFormat="1" ht="15.75">
      <c r="K2642" s="1238"/>
    </row>
    <row r="2643" s="390" customFormat="1" ht="15.75">
      <c r="K2643" s="1238"/>
    </row>
    <row r="2644" s="390" customFormat="1" ht="15.75">
      <c r="K2644" s="1238"/>
    </row>
    <row r="2645" s="390" customFormat="1" ht="15.75">
      <c r="K2645" s="1238"/>
    </row>
    <row r="2646" s="390" customFormat="1" ht="15.75">
      <c r="K2646" s="1238"/>
    </row>
    <row r="2647" s="390" customFormat="1" ht="15.75">
      <c r="K2647" s="1238"/>
    </row>
    <row r="2648" s="390" customFormat="1" ht="15.75">
      <c r="K2648" s="1238"/>
    </row>
    <row r="2649" s="390" customFormat="1" ht="15.75">
      <c r="K2649" s="1238"/>
    </row>
    <row r="2650" s="390" customFormat="1" ht="15.75">
      <c r="K2650" s="1238"/>
    </row>
    <row r="2651" s="390" customFormat="1" ht="15.75">
      <c r="K2651" s="1238"/>
    </row>
    <row r="2652" s="390" customFormat="1" ht="15.75">
      <c r="K2652" s="1238"/>
    </row>
    <row r="2653" s="390" customFormat="1" ht="15.75">
      <c r="K2653" s="1238"/>
    </row>
    <row r="2654" s="390" customFormat="1" ht="15.75">
      <c r="K2654" s="1238"/>
    </row>
    <row r="2655" s="390" customFormat="1" ht="15.75">
      <c r="K2655" s="1238"/>
    </row>
    <row r="2656" s="390" customFormat="1" ht="15.75">
      <c r="K2656" s="1238"/>
    </row>
    <row r="2657" s="390" customFormat="1" ht="15.75">
      <c r="K2657" s="1238"/>
    </row>
    <row r="2658" s="390" customFormat="1" ht="15.75">
      <c r="K2658" s="1238"/>
    </row>
    <row r="2659" s="390" customFormat="1" ht="15.75">
      <c r="K2659" s="1238"/>
    </row>
    <row r="2660" s="390" customFormat="1" ht="15.75">
      <c r="K2660" s="1238"/>
    </row>
    <row r="2661" s="390" customFormat="1" ht="15.75">
      <c r="K2661" s="1238"/>
    </row>
    <row r="2662" s="390" customFormat="1" ht="15.75">
      <c r="K2662" s="1238"/>
    </row>
    <row r="2663" s="390" customFormat="1" ht="15.75">
      <c r="K2663" s="1238"/>
    </row>
    <row r="2664" s="390" customFormat="1" ht="15.75">
      <c r="K2664" s="1238"/>
    </row>
    <row r="2665" s="390" customFormat="1" ht="15.75">
      <c r="K2665" s="1238"/>
    </row>
    <row r="2666" s="390" customFormat="1" ht="15.75">
      <c r="K2666" s="1238"/>
    </row>
    <row r="2667" s="390" customFormat="1" ht="15.75">
      <c r="K2667" s="1238"/>
    </row>
    <row r="2668" s="390" customFormat="1" ht="15.75">
      <c r="K2668" s="1238"/>
    </row>
    <row r="2669" s="390" customFormat="1" ht="15.75">
      <c r="K2669" s="1238"/>
    </row>
    <row r="2670" s="390" customFormat="1" ht="15.75">
      <c r="K2670" s="1238"/>
    </row>
    <row r="2671" s="390" customFormat="1" ht="15.75">
      <c r="K2671" s="1238"/>
    </row>
    <row r="2672" s="390" customFormat="1" ht="15.75">
      <c r="K2672" s="1238"/>
    </row>
    <row r="2673" s="390" customFormat="1" ht="15.75">
      <c r="K2673" s="1238"/>
    </row>
    <row r="2674" s="390" customFormat="1" ht="15.75">
      <c r="K2674" s="1238"/>
    </row>
    <row r="2675" s="390" customFormat="1" ht="15.75">
      <c r="K2675" s="1238"/>
    </row>
    <row r="2676" s="390" customFormat="1" ht="15.75">
      <c r="K2676" s="1238"/>
    </row>
    <row r="2677" s="390" customFormat="1" ht="15.75">
      <c r="K2677" s="1238"/>
    </row>
    <row r="2678" s="390" customFormat="1" ht="15.75">
      <c r="K2678" s="1238"/>
    </row>
    <row r="2679" s="390" customFormat="1" ht="15.75">
      <c r="K2679" s="1238"/>
    </row>
    <row r="2680" s="390" customFormat="1" ht="15.75">
      <c r="K2680" s="1238"/>
    </row>
    <row r="2681" s="390" customFormat="1" ht="15.75">
      <c r="K2681" s="1238"/>
    </row>
    <row r="2682" s="390" customFormat="1" ht="15.75">
      <c r="K2682" s="1238"/>
    </row>
    <row r="2683" s="390" customFormat="1" ht="15.75">
      <c r="K2683" s="1238"/>
    </row>
    <row r="2684" s="390" customFormat="1" ht="15.75">
      <c r="K2684" s="1238"/>
    </row>
    <row r="2685" s="390" customFormat="1" ht="15.75">
      <c r="K2685" s="1238"/>
    </row>
    <row r="2686" s="390" customFormat="1" ht="15.75">
      <c r="K2686" s="1238"/>
    </row>
    <row r="2687" s="390" customFormat="1" ht="15.75">
      <c r="K2687" s="1238"/>
    </row>
    <row r="2688" s="390" customFormat="1" ht="15.75">
      <c r="K2688" s="1238"/>
    </row>
    <row r="2689" s="390" customFormat="1" ht="15.75">
      <c r="K2689" s="1238"/>
    </row>
    <row r="2690" s="390" customFormat="1" ht="15.75">
      <c r="K2690" s="1238"/>
    </row>
    <row r="2691" s="390" customFormat="1" ht="15.75">
      <c r="K2691" s="1238"/>
    </row>
    <row r="2692" s="390" customFormat="1" ht="15.75">
      <c r="K2692" s="1238"/>
    </row>
    <row r="2693" s="390" customFormat="1" ht="15.75">
      <c r="K2693" s="1238"/>
    </row>
    <row r="2694" s="390" customFormat="1" ht="15.75">
      <c r="K2694" s="1238"/>
    </row>
    <row r="2695" s="390" customFormat="1" ht="15.75">
      <c r="K2695" s="1238"/>
    </row>
    <row r="2696" s="390" customFormat="1" ht="15.75">
      <c r="K2696" s="1238"/>
    </row>
    <row r="2697" s="390" customFormat="1" ht="15.75">
      <c r="K2697" s="1238"/>
    </row>
    <row r="2698" s="390" customFormat="1" ht="15.75">
      <c r="K2698" s="1238"/>
    </row>
    <row r="2699" s="390" customFormat="1" ht="15.75">
      <c r="K2699" s="1238"/>
    </row>
    <row r="2700" s="390" customFormat="1" ht="15.75">
      <c r="K2700" s="1238"/>
    </row>
    <row r="2701" s="390" customFormat="1" ht="15.75">
      <c r="K2701" s="1238"/>
    </row>
    <row r="2702" s="390" customFormat="1" ht="15.75">
      <c r="K2702" s="1238"/>
    </row>
    <row r="2703" s="390" customFormat="1" ht="15.75">
      <c r="K2703" s="1238"/>
    </row>
    <row r="2704" s="390" customFormat="1" ht="15.75">
      <c r="K2704" s="1238"/>
    </row>
    <row r="2705" s="390" customFormat="1" ht="15.75">
      <c r="K2705" s="1238"/>
    </row>
    <row r="2706" s="390" customFormat="1" ht="15.75">
      <c r="K2706" s="1238"/>
    </row>
    <row r="2707" s="390" customFormat="1" ht="15.75">
      <c r="K2707" s="1238"/>
    </row>
    <row r="2708" s="390" customFormat="1" ht="15.75">
      <c r="K2708" s="1238"/>
    </row>
    <row r="2709" s="390" customFormat="1" ht="15.75">
      <c r="K2709" s="1238"/>
    </row>
    <row r="2710" s="390" customFormat="1" ht="15.75">
      <c r="K2710" s="1238"/>
    </row>
    <row r="2711" s="390" customFormat="1" ht="15.75">
      <c r="K2711" s="1238"/>
    </row>
    <row r="2712" s="390" customFormat="1" ht="15.75">
      <c r="K2712" s="1238"/>
    </row>
    <row r="2713" s="390" customFormat="1" ht="15.75">
      <c r="K2713" s="1238"/>
    </row>
    <row r="2714" s="390" customFormat="1" ht="15.75">
      <c r="K2714" s="1238"/>
    </row>
    <row r="2715" s="390" customFormat="1" ht="15.75">
      <c r="K2715" s="1238"/>
    </row>
    <row r="2716" s="390" customFormat="1" ht="15.75">
      <c r="K2716" s="1238"/>
    </row>
    <row r="2717" s="390" customFormat="1" ht="15.75">
      <c r="K2717" s="1238"/>
    </row>
    <row r="2718" s="390" customFormat="1" ht="15.75">
      <c r="K2718" s="1238"/>
    </row>
    <row r="2719" s="390" customFormat="1" ht="15.75">
      <c r="K2719" s="1238"/>
    </row>
    <row r="2720" s="390" customFormat="1" ht="15.75">
      <c r="K2720" s="1238"/>
    </row>
    <row r="2721" s="390" customFormat="1" ht="15.75">
      <c r="K2721" s="1238"/>
    </row>
    <row r="2722" s="390" customFormat="1" ht="15.75">
      <c r="K2722" s="1238"/>
    </row>
    <row r="2723" s="390" customFormat="1" ht="15.75">
      <c r="K2723" s="1238"/>
    </row>
    <row r="2724" s="390" customFormat="1" ht="15.75">
      <c r="K2724" s="1238"/>
    </row>
    <row r="2725" s="390" customFormat="1" ht="15.75">
      <c r="K2725" s="1238"/>
    </row>
    <row r="2726" s="390" customFormat="1" ht="15.75">
      <c r="K2726" s="1238"/>
    </row>
    <row r="2727" s="390" customFormat="1" ht="15.75">
      <c r="K2727" s="1238"/>
    </row>
    <row r="2728" s="390" customFormat="1" ht="15.75">
      <c r="K2728" s="1238"/>
    </row>
    <row r="2729" s="390" customFormat="1" ht="15.75">
      <c r="K2729" s="1238"/>
    </row>
    <row r="2730" s="390" customFormat="1" ht="15.75">
      <c r="K2730" s="1238"/>
    </row>
    <row r="2731" s="390" customFormat="1" ht="15.75">
      <c r="K2731" s="1238"/>
    </row>
    <row r="2732" s="390" customFormat="1" ht="15.75">
      <c r="K2732" s="1238"/>
    </row>
    <row r="2733" s="390" customFormat="1" ht="15.75">
      <c r="K2733" s="1238"/>
    </row>
    <row r="2734" s="390" customFormat="1" ht="15.75">
      <c r="K2734" s="1238"/>
    </row>
    <row r="2735" s="390" customFormat="1" ht="15.75">
      <c r="K2735" s="1238"/>
    </row>
    <row r="2736" s="390" customFormat="1" ht="15.75">
      <c r="K2736" s="1238"/>
    </row>
    <row r="2737" s="390" customFormat="1" ht="15.75">
      <c r="K2737" s="1238"/>
    </row>
    <row r="2738" s="390" customFormat="1" ht="15.75">
      <c r="K2738" s="1238"/>
    </row>
    <row r="2739" s="390" customFormat="1" ht="15.75">
      <c r="K2739" s="1238"/>
    </row>
    <row r="2740" s="390" customFormat="1" ht="15.75">
      <c r="K2740" s="1238"/>
    </row>
    <row r="2741" s="390" customFormat="1" ht="15.75">
      <c r="K2741" s="1238"/>
    </row>
    <row r="2742" s="390" customFormat="1" ht="15.75">
      <c r="K2742" s="1238"/>
    </row>
    <row r="2743" s="390" customFormat="1" ht="15.75">
      <c r="K2743" s="1238"/>
    </row>
    <row r="2744" s="390" customFormat="1" ht="15.75">
      <c r="K2744" s="1238"/>
    </row>
    <row r="2745" s="390" customFormat="1" ht="15.75">
      <c r="K2745" s="1238"/>
    </row>
    <row r="2746" s="390" customFormat="1" ht="15.75">
      <c r="K2746" s="1238"/>
    </row>
    <row r="2747" s="390" customFormat="1" ht="15.75">
      <c r="K2747" s="1238"/>
    </row>
    <row r="2748" s="390" customFormat="1" ht="15.75">
      <c r="K2748" s="1238"/>
    </row>
    <row r="2749" s="390" customFormat="1" ht="15.75">
      <c r="K2749" s="1238"/>
    </row>
    <row r="2750" s="390" customFormat="1" ht="15.75">
      <c r="K2750" s="1238"/>
    </row>
    <row r="2751" s="390" customFormat="1" ht="15.75">
      <c r="K2751" s="1238"/>
    </row>
    <row r="2752" s="390" customFormat="1" ht="15.75">
      <c r="K2752" s="1238"/>
    </row>
    <row r="2753" s="390" customFormat="1" ht="15.75">
      <c r="K2753" s="1238"/>
    </row>
    <row r="2754" s="390" customFormat="1" ht="15.75">
      <c r="K2754" s="1238"/>
    </row>
    <row r="2755" s="390" customFormat="1" ht="15.75">
      <c r="K2755" s="1238"/>
    </row>
    <row r="2756" s="390" customFormat="1" ht="15.75">
      <c r="K2756" s="1238"/>
    </row>
    <row r="2757" s="390" customFormat="1" ht="15.75">
      <c r="K2757" s="1238"/>
    </row>
    <row r="2758" s="390" customFormat="1" ht="15.75">
      <c r="K2758" s="1238"/>
    </row>
    <row r="2759" s="390" customFormat="1" ht="15.75">
      <c r="K2759" s="1238"/>
    </row>
    <row r="2760" s="390" customFormat="1" ht="15.75">
      <c r="K2760" s="1238"/>
    </row>
    <row r="2761" s="390" customFormat="1" ht="15.75">
      <c r="K2761" s="1238"/>
    </row>
    <row r="2762" s="390" customFormat="1" ht="15.75">
      <c r="K2762" s="1238"/>
    </row>
    <row r="2763" s="390" customFormat="1" ht="15.75">
      <c r="K2763" s="1238"/>
    </row>
    <row r="2764" s="390" customFormat="1" ht="15.75">
      <c r="K2764" s="1238"/>
    </row>
    <row r="2765" s="390" customFormat="1" ht="15.75">
      <c r="K2765" s="1238"/>
    </row>
    <row r="2766" s="390" customFormat="1" ht="15.75">
      <c r="K2766" s="1238"/>
    </row>
    <row r="2767" s="390" customFormat="1" ht="15.75">
      <c r="K2767" s="1238"/>
    </row>
    <row r="2768" s="390" customFormat="1" ht="15.75">
      <c r="K2768" s="1238"/>
    </row>
    <row r="2769" s="390" customFormat="1" ht="15.75">
      <c r="K2769" s="1238"/>
    </row>
    <row r="2770" s="390" customFormat="1" ht="15.75">
      <c r="K2770" s="1238"/>
    </row>
    <row r="2771" s="390" customFormat="1" ht="15.75">
      <c r="K2771" s="1238"/>
    </row>
    <row r="2772" s="390" customFormat="1" ht="15.75">
      <c r="K2772" s="1238"/>
    </row>
    <row r="2773" s="390" customFormat="1" ht="15.75">
      <c r="K2773" s="1238"/>
    </row>
    <row r="2774" s="390" customFormat="1" ht="15.75">
      <c r="K2774" s="1238"/>
    </row>
    <row r="2775" s="390" customFormat="1" ht="15.75">
      <c r="K2775" s="1238"/>
    </row>
    <row r="2776" s="390" customFormat="1" ht="15.75">
      <c r="K2776" s="1238"/>
    </row>
    <row r="2777" s="390" customFormat="1" ht="15.75">
      <c r="K2777" s="1238"/>
    </row>
    <row r="2778" s="390" customFormat="1" ht="15.75">
      <c r="K2778" s="1238"/>
    </row>
    <row r="2779" s="390" customFormat="1" ht="15.75">
      <c r="K2779" s="1238"/>
    </row>
    <row r="2780" s="390" customFormat="1" ht="15.75">
      <c r="K2780" s="1238"/>
    </row>
    <row r="2781" s="390" customFormat="1" ht="15.75">
      <c r="K2781" s="1238"/>
    </row>
    <row r="2782" s="390" customFormat="1" ht="15.75">
      <c r="K2782" s="1238"/>
    </row>
    <row r="2783" s="390" customFormat="1" ht="15.75">
      <c r="K2783" s="1238"/>
    </row>
    <row r="2784" s="390" customFormat="1" ht="15.75">
      <c r="K2784" s="1238"/>
    </row>
    <row r="2785" s="390" customFormat="1" ht="15.75">
      <c r="K2785" s="1238"/>
    </row>
    <row r="2786" s="390" customFormat="1" ht="15.75">
      <c r="K2786" s="1238"/>
    </row>
    <row r="2787" s="390" customFormat="1" ht="15.75">
      <c r="K2787" s="1238"/>
    </row>
    <row r="2788" s="390" customFormat="1" ht="15.75">
      <c r="K2788" s="1238"/>
    </row>
    <row r="2789" s="390" customFormat="1" ht="15.75">
      <c r="K2789" s="1238"/>
    </row>
    <row r="2790" s="390" customFormat="1" ht="15.75">
      <c r="K2790" s="1238"/>
    </row>
    <row r="2791" s="390" customFormat="1" ht="15.75">
      <c r="K2791" s="1238"/>
    </row>
    <row r="2792" s="390" customFormat="1" ht="15.75">
      <c r="K2792" s="1238"/>
    </row>
    <row r="2793" s="390" customFormat="1" ht="15.75">
      <c r="K2793" s="1238"/>
    </row>
    <row r="2794" s="390" customFormat="1" ht="15.75">
      <c r="K2794" s="1238"/>
    </row>
    <row r="2795" s="390" customFormat="1" ht="15.75">
      <c r="K2795" s="1238"/>
    </row>
    <row r="2796" s="390" customFormat="1" ht="15.75">
      <c r="K2796" s="1238"/>
    </row>
    <row r="2797" s="390" customFormat="1" ht="15.75">
      <c r="K2797" s="1238"/>
    </row>
    <row r="2798" s="390" customFormat="1" ht="15.75">
      <c r="K2798" s="1238"/>
    </row>
    <row r="2799" s="390" customFormat="1" ht="15.75">
      <c r="K2799" s="1238"/>
    </row>
    <row r="2800" s="390" customFormat="1" ht="15.75">
      <c r="K2800" s="1238"/>
    </row>
    <row r="2801" s="390" customFormat="1" ht="15.75">
      <c r="K2801" s="1238"/>
    </row>
    <row r="2802" s="390" customFormat="1" ht="15.75">
      <c r="K2802" s="1238"/>
    </row>
    <row r="2803" s="390" customFormat="1" ht="15.75">
      <c r="K2803" s="1238"/>
    </row>
    <row r="2804" s="390" customFormat="1" ht="15.75">
      <c r="K2804" s="1238"/>
    </row>
    <row r="2805" s="390" customFormat="1" ht="15.75">
      <c r="K2805" s="1238"/>
    </row>
    <row r="2806" s="390" customFormat="1" ht="15.75">
      <c r="K2806" s="1238"/>
    </row>
    <row r="2807" s="390" customFormat="1" ht="15.75">
      <c r="K2807" s="1238"/>
    </row>
    <row r="2808" s="390" customFormat="1" ht="15.75">
      <c r="K2808" s="1238"/>
    </row>
    <row r="2809" s="390" customFormat="1" ht="15.75">
      <c r="K2809" s="1238"/>
    </row>
    <row r="2810" s="390" customFormat="1" ht="15.75">
      <c r="K2810" s="1238"/>
    </row>
    <row r="2811" s="390" customFormat="1" ht="15.75">
      <c r="K2811" s="1238"/>
    </row>
    <row r="2812" s="390" customFormat="1" ht="15.75">
      <c r="K2812" s="1238"/>
    </row>
    <row r="2813" s="390" customFormat="1" ht="15.75">
      <c r="K2813" s="1238"/>
    </row>
    <row r="2814" s="390" customFormat="1" ht="15.75">
      <c r="K2814" s="1238"/>
    </row>
    <row r="2815" s="390" customFormat="1" ht="15.75">
      <c r="K2815" s="1238"/>
    </row>
    <row r="2816" s="390" customFormat="1" ht="15.75">
      <c r="K2816" s="1238"/>
    </row>
    <row r="2817" s="390" customFormat="1" ht="15.75">
      <c r="K2817" s="1238"/>
    </row>
    <row r="2818" s="390" customFormat="1" ht="15.75">
      <c r="K2818" s="1238"/>
    </row>
    <row r="2819" s="390" customFormat="1" ht="15.75">
      <c r="K2819" s="1238"/>
    </row>
    <row r="2820" s="390" customFormat="1" ht="15.75">
      <c r="K2820" s="1238"/>
    </row>
    <row r="2821" s="390" customFormat="1" ht="15.75">
      <c r="K2821" s="1238"/>
    </row>
    <row r="2822" s="390" customFormat="1" ht="15.75">
      <c r="K2822" s="1238"/>
    </row>
    <row r="2823" s="390" customFormat="1" ht="15.75">
      <c r="K2823" s="1238"/>
    </row>
    <row r="2824" s="390" customFormat="1" ht="15.75">
      <c r="K2824" s="1238"/>
    </row>
    <row r="2825" s="390" customFormat="1" ht="15.75">
      <c r="K2825" s="1238"/>
    </row>
    <row r="2826" s="390" customFormat="1" ht="15.75">
      <c r="K2826" s="1238"/>
    </row>
    <row r="2827" s="390" customFormat="1" ht="15.75">
      <c r="K2827" s="1238"/>
    </row>
    <row r="2828" s="390" customFormat="1" ht="15.75">
      <c r="K2828" s="1238"/>
    </row>
    <row r="2829" s="390" customFormat="1" ht="15.75">
      <c r="K2829" s="1238"/>
    </row>
    <row r="2830" s="390" customFormat="1" ht="15.75">
      <c r="K2830" s="1238"/>
    </row>
    <row r="2831" s="390" customFormat="1" ht="15.75">
      <c r="K2831" s="1238"/>
    </row>
    <row r="2832" s="390" customFormat="1" ht="15.75">
      <c r="K2832" s="1238"/>
    </row>
    <row r="2833" s="390" customFormat="1" ht="15.75">
      <c r="K2833" s="1238"/>
    </row>
    <row r="2834" s="390" customFormat="1" ht="15.75">
      <c r="K2834" s="1238"/>
    </row>
    <row r="2835" s="390" customFormat="1" ht="15.75">
      <c r="K2835" s="1238"/>
    </row>
    <row r="2836" s="390" customFormat="1" ht="15.75">
      <c r="K2836" s="1238"/>
    </row>
    <row r="2837" s="390" customFormat="1" ht="15.75">
      <c r="K2837" s="1238"/>
    </row>
    <row r="2838" s="390" customFormat="1" ht="15.75">
      <c r="K2838" s="1238"/>
    </row>
    <row r="2839" s="390" customFormat="1" ht="15.75">
      <c r="K2839" s="1238"/>
    </row>
    <row r="2840" s="390" customFormat="1" ht="15.75">
      <c r="K2840" s="1238"/>
    </row>
    <row r="2841" s="390" customFormat="1" ht="15.75">
      <c r="K2841" s="1238"/>
    </row>
    <row r="2842" s="390" customFormat="1" ht="15.75">
      <c r="K2842" s="1238"/>
    </row>
    <row r="2843" s="390" customFormat="1" ht="15.75">
      <c r="K2843" s="1238"/>
    </row>
    <row r="2844" s="390" customFormat="1" ht="15.75">
      <c r="K2844" s="1238"/>
    </row>
    <row r="2845" s="390" customFormat="1" ht="15.75">
      <c r="K2845" s="1238"/>
    </row>
    <row r="2846" s="390" customFormat="1" ht="15.75">
      <c r="K2846" s="1238"/>
    </row>
    <row r="2847" s="390" customFormat="1" ht="15.75">
      <c r="K2847" s="1238"/>
    </row>
    <row r="2848" s="390" customFormat="1" ht="15.75">
      <c r="K2848" s="1238"/>
    </row>
    <row r="2849" s="390" customFormat="1" ht="15.75">
      <c r="K2849" s="1238"/>
    </row>
    <row r="2850" s="390" customFormat="1" ht="15.75">
      <c r="K2850" s="1238"/>
    </row>
    <row r="2851" s="390" customFormat="1" ht="15.75">
      <c r="K2851" s="1238"/>
    </row>
    <row r="2852" s="390" customFormat="1" ht="15.75">
      <c r="K2852" s="1238"/>
    </row>
    <row r="2853" s="390" customFormat="1" ht="15.75">
      <c r="K2853" s="1238"/>
    </row>
    <row r="2854" s="390" customFormat="1" ht="15.75">
      <c r="K2854" s="1238"/>
    </row>
    <row r="2855" s="390" customFormat="1" ht="15.75">
      <c r="K2855" s="1238"/>
    </row>
    <row r="2856" s="390" customFormat="1" ht="15.75">
      <c r="K2856" s="1238"/>
    </row>
    <row r="2857" s="390" customFormat="1" ht="15.75">
      <c r="K2857" s="1238"/>
    </row>
    <row r="2858" s="390" customFormat="1" ht="15.75">
      <c r="K2858" s="1238"/>
    </row>
    <row r="2859" s="390" customFormat="1" ht="15.75">
      <c r="K2859" s="1238"/>
    </row>
    <row r="2860" s="390" customFormat="1" ht="15.75">
      <c r="K2860" s="1238"/>
    </row>
    <row r="2861" s="390" customFormat="1" ht="15.75">
      <c r="K2861" s="1238"/>
    </row>
    <row r="2862" s="390" customFormat="1" ht="15.75">
      <c r="K2862" s="1238"/>
    </row>
    <row r="2863" s="390" customFormat="1" ht="15.75">
      <c r="K2863" s="1238"/>
    </row>
    <row r="2864" s="390" customFormat="1" ht="15.75">
      <c r="K2864" s="1238"/>
    </row>
    <row r="2865" s="390" customFormat="1" ht="15.75">
      <c r="K2865" s="1238"/>
    </row>
    <row r="2866" s="390" customFormat="1" ht="15.75">
      <c r="K2866" s="1238"/>
    </row>
    <row r="2867" s="390" customFormat="1" ht="15.75">
      <c r="K2867" s="1238"/>
    </row>
    <row r="2868" s="390" customFormat="1" ht="15.75">
      <c r="K2868" s="1238"/>
    </row>
    <row r="2869" s="390" customFormat="1" ht="15.75">
      <c r="K2869" s="1238"/>
    </row>
    <row r="2870" s="390" customFormat="1" ht="15.75">
      <c r="K2870" s="1238"/>
    </row>
    <row r="2871" s="390" customFormat="1" ht="15.75">
      <c r="K2871" s="1238"/>
    </row>
    <row r="2872" s="390" customFormat="1" ht="15.75">
      <c r="K2872" s="1238"/>
    </row>
    <row r="2873" s="390" customFormat="1" ht="15.75">
      <c r="K2873" s="1238"/>
    </row>
    <row r="2874" s="390" customFormat="1" ht="15.75">
      <c r="K2874" s="1238"/>
    </row>
    <row r="2875" s="390" customFormat="1" ht="15.75">
      <c r="K2875" s="1238"/>
    </row>
    <row r="2876" s="390" customFormat="1" ht="15.75">
      <c r="K2876" s="1238"/>
    </row>
    <row r="2877" s="390" customFormat="1" ht="15.75">
      <c r="K2877" s="1238"/>
    </row>
    <row r="2878" s="390" customFormat="1" ht="15.75">
      <c r="K2878" s="1238"/>
    </row>
    <row r="2879" s="390" customFormat="1" ht="15.75">
      <c r="K2879" s="1238"/>
    </row>
    <row r="2880" s="390" customFormat="1" ht="15.75">
      <c r="K2880" s="1238"/>
    </row>
    <row r="2881" s="390" customFormat="1" ht="15.75">
      <c r="K2881" s="1238"/>
    </row>
    <row r="2882" s="390" customFormat="1" ht="15.75">
      <c r="K2882" s="1238"/>
    </row>
    <row r="2883" s="390" customFormat="1" ht="15.75">
      <c r="K2883" s="1238"/>
    </row>
    <row r="2884" s="390" customFormat="1" ht="15.75">
      <c r="K2884" s="1238"/>
    </row>
    <row r="2885" s="390" customFormat="1" ht="15.75">
      <c r="K2885" s="1238"/>
    </row>
    <row r="2886" s="390" customFormat="1" ht="15.75">
      <c r="K2886" s="1238"/>
    </row>
    <row r="2887" s="390" customFormat="1" ht="15.75">
      <c r="K2887" s="1238"/>
    </row>
    <row r="2888" s="390" customFormat="1" ht="15.75">
      <c r="K2888" s="1238"/>
    </row>
    <row r="2889" s="390" customFormat="1" ht="15.75">
      <c r="K2889" s="1238"/>
    </row>
    <row r="2890" s="390" customFormat="1" ht="15.75">
      <c r="K2890" s="1238"/>
    </row>
    <row r="2891" s="390" customFormat="1" ht="15.75">
      <c r="K2891" s="1238"/>
    </row>
    <row r="2892" s="390" customFormat="1" ht="15.75">
      <c r="K2892" s="1238"/>
    </row>
    <row r="2893" s="390" customFormat="1" ht="15.75">
      <c r="K2893" s="1238"/>
    </row>
    <row r="2894" s="390" customFormat="1" ht="15.75">
      <c r="K2894" s="1238"/>
    </row>
    <row r="2895" s="390" customFormat="1" ht="15.75">
      <c r="K2895" s="1238"/>
    </row>
    <row r="2896" s="390" customFormat="1" ht="15.75">
      <c r="K2896" s="1238"/>
    </row>
    <row r="2897" s="390" customFormat="1" ht="15.75">
      <c r="K2897" s="1238"/>
    </row>
    <row r="2898" s="390" customFormat="1" ht="15.75">
      <c r="K2898" s="1238"/>
    </row>
    <row r="2899" s="390" customFormat="1" ht="15.75">
      <c r="K2899" s="1238"/>
    </row>
    <row r="2900" s="390" customFormat="1" ht="15.75">
      <c r="K2900" s="1238"/>
    </row>
    <row r="2901" s="390" customFormat="1" ht="15.75">
      <c r="K2901" s="1238"/>
    </row>
    <row r="2902" s="390" customFormat="1" ht="15.75">
      <c r="K2902" s="1238"/>
    </row>
    <row r="2903" s="390" customFormat="1" ht="15.75">
      <c r="K2903" s="1238"/>
    </row>
    <row r="2904" s="390" customFormat="1" ht="15.75">
      <c r="K2904" s="1238"/>
    </row>
    <row r="2905" s="390" customFormat="1" ht="15.75">
      <c r="K2905" s="1238"/>
    </row>
    <row r="2906" s="390" customFormat="1" ht="15.75">
      <c r="K2906" s="1238"/>
    </row>
    <row r="2907" s="390" customFormat="1" ht="15.75">
      <c r="K2907" s="1238"/>
    </row>
    <row r="2908" s="390" customFormat="1" ht="15.75">
      <c r="K2908" s="1238"/>
    </row>
    <row r="2909" s="390" customFormat="1" ht="15.75">
      <c r="K2909" s="1238"/>
    </row>
    <row r="2910" s="390" customFormat="1" ht="15.75">
      <c r="K2910" s="1238"/>
    </row>
    <row r="2911" s="390" customFormat="1" ht="15.75">
      <c r="K2911" s="1238"/>
    </row>
    <row r="2912" s="390" customFormat="1" ht="15.75">
      <c r="K2912" s="1238"/>
    </row>
    <row r="2913" s="390" customFormat="1" ht="15.75">
      <c r="K2913" s="1238"/>
    </row>
    <row r="2914" s="390" customFormat="1" ht="15.75">
      <c r="K2914" s="1238"/>
    </row>
    <row r="2915" s="390" customFormat="1" ht="15.75">
      <c r="K2915" s="1238"/>
    </row>
    <row r="2916" s="390" customFormat="1" ht="15.75">
      <c r="K2916" s="1238"/>
    </row>
    <row r="2917" s="390" customFormat="1" ht="15.75">
      <c r="K2917" s="1238"/>
    </row>
    <row r="2918" s="390" customFormat="1" ht="15.75">
      <c r="K2918" s="1238"/>
    </row>
    <row r="2919" s="390" customFormat="1" ht="15.75">
      <c r="K2919" s="1238"/>
    </row>
    <row r="2920" s="390" customFormat="1" ht="15.75">
      <c r="K2920" s="1238"/>
    </row>
    <row r="2921" s="390" customFormat="1" ht="15.75">
      <c r="K2921" s="1238"/>
    </row>
    <row r="2922" s="390" customFormat="1" ht="15.75">
      <c r="K2922" s="1238"/>
    </row>
    <row r="2923" s="390" customFormat="1" ht="15.75">
      <c r="K2923" s="1238"/>
    </row>
    <row r="2924" s="390" customFormat="1" ht="15.75">
      <c r="K2924" s="1238"/>
    </row>
    <row r="2925" s="390" customFormat="1" ht="15.75">
      <c r="K2925" s="1238"/>
    </row>
    <row r="2926" s="390" customFormat="1" ht="15.75">
      <c r="K2926" s="1238"/>
    </row>
    <row r="2927" s="390" customFormat="1" ht="15.75">
      <c r="K2927" s="1238"/>
    </row>
    <row r="2928" s="390" customFormat="1" ht="15.75">
      <c r="K2928" s="1238"/>
    </row>
    <row r="2929" s="390" customFormat="1" ht="15.75">
      <c r="K2929" s="1238"/>
    </row>
    <row r="2930" s="390" customFormat="1" ht="15.75">
      <c r="K2930" s="1238"/>
    </row>
    <row r="2931" s="390" customFormat="1" ht="15.75">
      <c r="K2931" s="1238"/>
    </row>
    <row r="2932" s="390" customFormat="1" ht="15.75">
      <c r="K2932" s="1238"/>
    </row>
    <row r="2933" s="390" customFormat="1" ht="15.75">
      <c r="K2933" s="1238"/>
    </row>
    <row r="2934" s="390" customFormat="1" ht="15.75">
      <c r="K2934" s="1238"/>
    </row>
    <row r="2935" s="390" customFormat="1" ht="15.75">
      <c r="K2935" s="1238"/>
    </row>
    <row r="2936" s="390" customFormat="1" ht="15.75">
      <c r="K2936" s="1238"/>
    </row>
    <row r="2937" s="390" customFormat="1" ht="15.75">
      <c r="K2937" s="1238"/>
    </row>
    <row r="2938" s="390" customFormat="1" ht="15.75">
      <c r="K2938" s="1238"/>
    </row>
    <row r="2939" s="390" customFormat="1" ht="15.75">
      <c r="K2939" s="1238"/>
    </row>
    <row r="2940" s="390" customFormat="1" ht="15.75">
      <c r="K2940" s="1238"/>
    </row>
    <row r="2941" s="390" customFormat="1" ht="15.75">
      <c r="K2941" s="1238"/>
    </row>
    <row r="2942" s="390" customFormat="1" ht="15.75">
      <c r="K2942" s="1238"/>
    </row>
    <row r="2943" s="390" customFormat="1" ht="15.75">
      <c r="K2943" s="1238"/>
    </row>
    <row r="2944" s="390" customFormat="1" ht="15.75">
      <c r="K2944" s="1238"/>
    </row>
    <row r="2945" s="390" customFormat="1" ht="15.75">
      <c r="K2945" s="1238"/>
    </row>
    <row r="2946" s="390" customFormat="1" ht="15.75">
      <c r="K2946" s="1238"/>
    </row>
    <row r="2947" s="390" customFormat="1" ht="15.75">
      <c r="K2947" s="1238"/>
    </row>
    <row r="2948" s="390" customFormat="1" ht="15.75">
      <c r="K2948" s="1238"/>
    </row>
    <row r="2949" s="390" customFormat="1" ht="15.75">
      <c r="K2949" s="1238"/>
    </row>
    <row r="2950" s="390" customFormat="1" ht="15.75">
      <c r="K2950" s="1238"/>
    </row>
    <row r="2951" s="390" customFormat="1" ht="15.75">
      <c r="K2951" s="1238"/>
    </row>
    <row r="2952" s="390" customFormat="1" ht="15.75">
      <c r="K2952" s="1238"/>
    </row>
    <row r="2953" s="390" customFormat="1" ht="15.75">
      <c r="K2953" s="1238"/>
    </row>
    <row r="2954" s="390" customFormat="1" ht="15.75">
      <c r="K2954" s="1238"/>
    </row>
    <row r="2955" s="390" customFormat="1" ht="15.75">
      <c r="K2955" s="1238"/>
    </row>
    <row r="2956" s="390" customFormat="1" ht="15.75">
      <c r="K2956" s="1238"/>
    </row>
    <row r="2957" s="390" customFormat="1" ht="15.75">
      <c r="K2957" s="1238"/>
    </row>
    <row r="2958" s="390" customFormat="1" ht="15.75">
      <c r="K2958" s="1238"/>
    </row>
    <row r="2959" s="390" customFormat="1" ht="15.75">
      <c r="K2959" s="1238"/>
    </row>
    <row r="2960" s="390" customFormat="1" ht="15.75">
      <c r="K2960" s="1238"/>
    </row>
    <row r="2961" s="390" customFormat="1" ht="15.75">
      <c r="K2961" s="1238"/>
    </row>
    <row r="2962" s="390" customFormat="1" ht="15.75">
      <c r="K2962" s="1238"/>
    </row>
    <row r="2963" s="390" customFormat="1" ht="15.75">
      <c r="K2963" s="1238"/>
    </row>
    <row r="2964" s="390" customFormat="1" ht="15.75">
      <c r="K2964" s="1238"/>
    </row>
    <row r="2965" s="390" customFormat="1" ht="15.75">
      <c r="K2965" s="1238"/>
    </row>
    <row r="2966" s="390" customFormat="1" ht="15.75">
      <c r="K2966" s="1238"/>
    </row>
    <row r="2967" s="390" customFormat="1" ht="15.75">
      <c r="K2967" s="1238"/>
    </row>
    <row r="2968" s="390" customFormat="1" ht="15.75">
      <c r="K2968" s="1238"/>
    </row>
    <row r="2969" s="390" customFormat="1" ht="15.75">
      <c r="K2969" s="1238"/>
    </row>
    <row r="2970" s="390" customFormat="1" ht="15.75">
      <c r="K2970" s="1238"/>
    </row>
    <row r="2971" s="390" customFormat="1" ht="15.75">
      <c r="K2971" s="1238"/>
    </row>
    <row r="2972" s="390" customFormat="1" ht="15.75">
      <c r="K2972" s="1238"/>
    </row>
    <row r="2973" s="390" customFormat="1" ht="15.75">
      <c r="K2973" s="1238"/>
    </row>
    <row r="2974" s="390" customFormat="1" ht="15.75">
      <c r="K2974" s="1238"/>
    </row>
    <row r="2975" s="390" customFormat="1" ht="15.75">
      <c r="K2975" s="1238"/>
    </row>
    <row r="2976" s="390" customFormat="1" ht="15.75">
      <c r="K2976" s="1238"/>
    </row>
    <row r="2977" s="390" customFormat="1" ht="15.75">
      <c r="K2977" s="1238"/>
    </row>
    <row r="2978" s="390" customFormat="1" ht="15.75">
      <c r="K2978" s="1238"/>
    </row>
    <row r="2979" s="390" customFormat="1" ht="15.75">
      <c r="K2979" s="1238"/>
    </row>
    <row r="2980" s="390" customFormat="1" ht="15.75">
      <c r="K2980" s="1238"/>
    </row>
    <row r="2981" s="390" customFormat="1" ht="15.75">
      <c r="K2981" s="1238"/>
    </row>
    <row r="2982" s="390" customFormat="1" ht="15.75">
      <c r="K2982" s="1238"/>
    </row>
    <row r="2983" s="390" customFormat="1" ht="15.75">
      <c r="K2983" s="1238"/>
    </row>
    <row r="2984" s="390" customFormat="1" ht="15.75">
      <c r="K2984" s="1238"/>
    </row>
    <row r="2985" s="390" customFormat="1" ht="15.75">
      <c r="K2985" s="1238"/>
    </row>
    <row r="2986" s="390" customFormat="1" ht="15.75">
      <c r="K2986" s="1238"/>
    </row>
    <row r="2987" s="390" customFormat="1" ht="15.75">
      <c r="K2987" s="1238"/>
    </row>
    <row r="2988" s="390" customFormat="1" ht="15.75">
      <c r="K2988" s="1238"/>
    </row>
    <row r="2989" s="390" customFormat="1" ht="15.75">
      <c r="K2989" s="1238"/>
    </row>
    <row r="2990" s="390" customFormat="1" ht="15.75">
      <c r="K2990" s="1238"/>
    </row>
    <row r="2991" s="390" customFormat="1" ht="15.75">
      <c r="K2991" s="1238"/>
    </row>
    <row r="2992" s="390" customFormat="1" ht="15.75">
      <c r="K2992" s="1238"/>
    </row>
    <row r="2993" s="390" customFormat="1" ht="15.75">
      <c r="K2993" s="1238"/>
    </row>
    <row r="2994" s="390" customFormat="1" ht="15.75">
      <c r="K2994" s="1238"/>
    </row>
    <row r="2995" s="390" customFormat="1" ht="15.75">
      <c r="K2995" s="1238"/>
    </row>
  </sheetData>
  <sheetProtection password="EE7C" sheet="1"/>
  <mergeCells count="4">
    <mergeCell ref="C274:J274"/>
    <mergeCell ref="C285:E285"/>
    <mergeCell ref="C284:E284"/>
    <mergeCell ref="C146:D146"/>
  </mergeCells>
  <printOptions horizontalCentered="1"/>
  <pageMargins left="0.32" right="0.18" top="0.25" bottom="0.4" header="0.17" footer="0.21"/>
  <pageSetup firstPageNumber="11" useFirstPageNumber="1" fitToHeight="0" fitToWidth="1" horizontalDpi="600" verticalDpi="600" orientation="portrait" scale="56" r:id="rId1"/>
  <headerFooter alignWithMargins="0">
    <oddFooter>&amp;L&amp;8DSHS 23-003 &amp;C&amp;11 &amp;=&amp;P-2&amp;RSchedule G  (&amp;8Page &amp;P-10 of 11)</oddFooter>
  </headerFooter>
  <rowBreaks count="10" manualBreakCount="10">
    <brk id="51" max="255" man="1"/>
    <brk id="92" max="255" man="1"/>
    <brk id="147" max="255" man="1"/>
    <brk id="184" max="255" man="1"/>
    <brk id="226" max="255" man="1"/>
    <brk id="266" max="255" man="1"/>
    <brk id="288" max="255" man="1"/>
    <brk id="347" max="255" man="1"/>
    <brk id="414" max="255" man="1"/>
    <brk id="45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M39"/>
  <sheetViews>
    <sheetView zoomScale="90" zoomScaleNormal="90" workbookViewId="0" topLeftCell="A1">
      <selection activeCell="D4" sqref="D4"/>
    </sheetView>
  </sheetViews>
  <sheetFormatPr defaultColWidth="9.140625" defaultRowHeight="12.75"/>
  <cols>
    <col min="1" max="1" width="3.7109375" style="406" customWidth="1"/>
    <col min="2" max="2" width="5.421875" style="406" customWidth="1"/>
    <col min="3" max="3" width="29.8515625" style="406" customWidth="1"/>
    <col min="4" max="4" width="13.140625" style="406" customWidth="1"/>
    <col min="5" max="5" width="25.421875" style="406" customWidth="1"/>
    <col min="6" max="6" width="12.8515625" style="406" customWidth="1"/>
    <col min="7" max="7" width="16.28125" style="406" customWidth="1"/>
    <col min="8" max="8" width="19.57421875" style="406" customWidth="1"/>
    <col min="9" max="9" width="16.8515625" style="406" customWidth="1"/>
    <col min="10" max="10" width="13.8515625" style="406" customWidth="1"/>
    <col min="11" max="11" width="19.8515625" style="406" customWidth="1"/>
    <col min="12" max="12" width="18.7109375" style="406" customWidth="1"/>
    <col min="13" max="13" width="6.8515625" style="406" customWidth="1"/>
    <col min="14" max="16384" width="9.140625" style="406" customWidth="1"/>
  </cols>
  <sheetData>
    <row r="1" spans="1:13" ht="26.25">
      <c r="A1" s="404" t="s">
        <v>1</v>
      </c>
      <c r="B1" s="405"/>
      <c r="C1" s="405"/>
      <c r="D1" s="405"/>
      <c r="E1" s="405"/>
      <c r="F1" s="405"/>
      <c r="G1" s="405"/>
      <c r="H1" s="405"/>
      <c r="I1" s="405"/>
      <c r="J1" s="405"/>
      <c r="K1" s="405"/>
      <c r="L1" s="405"/>
      <c r="M1" s="405"/>
    </row>
    <row r="2" spans="1:13" ht="15.75">
      <c r="A2" s="407" t="s">
        <v>421</v>
      </c>
      <c r="B2" s="405"/>
      <c r="C2" s="405"/>
      <c r="D2" s="405"/>
      <c r="E2" s="405"/>
      <c r="F2" s="405"/>
      <c r="G2" s="405"/>
      <c r="H2" s="405"/>
      <c r="I2" s="405"/>
      <c r="J2" s="405"/>
      <c r="K2" s="405"/>
      <c r="L2" s="405"/>
      <c r="M2" s="405"/>
    </row>
    <row r="3" spans="3:4" ht="16.5" thickBot="1">
      <c r="C3" s="408" t="s">
        <v>265</v>
      </c>
      <c r="D3" s="923">
        <f>Schedule_B!D1</f>
        <v>0</v>
      </c>
    </row>
    <row r="4" spans="3:10" ht="16.5" thickBot="1">
      <c r="C4" s="408" t="s">
        <v>266</v>
      </c>
      <c r="D4" s="409">
        <f>+Schedule_A!$I$8</f>
        <v>0</v>
      </c>
      <c r="I4" s="410" t="s">
        <v>635</v>
      </c>
      <c r="J4" s="1374"/>
    </row>
    <row r="5" ht="18" customHeight="1" thickBot="1">
      <c r="D5" s="406" t="str">
        <f>Schedule_A!A3</f>
        <v>NURSING FACILITY 2019 COST REPORT</v>
      </c>
    </row>
    <row r="6" spans="2:12" ht="58.5" customHeight="1">
      <c r="B6" s="411" t="s">
        <v>181</v>
      </c>
      <c r="C6" s="412" t="s">
        <v>422</v>
      </c>
      <c r="D6" s="412" t="s">
        <v>423</v>
      </c>
      <c r="E6" s="412" t="s">
        <v>424</v>
      </c>
      <c r="F6" s="412" t="s">
        <v>465</v>
      </c>
      <c r="G6" s="412" t="s">
        <v>425</v>
      </c>
      <c r="H6" s="412" t="s">
        <v>426</v>
      </c>
      <c r="I6" s="412" t="s">
        <v>427</v>
      </c>
      <c r="J6" s="413" t="s">
        <v>428</v>
      </c>
      <c r="K6" s="414"/>
      <c r="L6" s="414"/>
    </row>
    <row r="7" spans="2:13" ht="12.75" customHeight="1">
      <c r="B7" s="415"/>
      <c r="C7" s="416" t="s">
        <v>473</v>
      </c>
      <c r="D7" s="416" t="s">
        <v>474</v>
      </c>
      <c r="E7" s="416" t="s">
        <v>475</v>
      </c>
      <c r="F7" s="416" t="s">
        <v>476</v>
      </c>
      <c r="G7" s="416" t="s">
        <v>477</v>
      </c>
      <c r="H7" s="416" t="s">
        <v>478</v>
      </c>
      <c r="I7" s="416" t="s">
        <v>479</v>
      </c>
      <c r="J7" s="417" t="s">
        <v>182</v>
      </c>
      <c r="K7" s="418"/>
      <c r="L7" s="418"/>
      <c r="M7" s="418"/>
    </row>
    <row r="8" spans="2:12" ht="19.5" customHeight="1">
      <c r="B8" s="419"/>
      <c r="C8" s="420"/>
      <c r="D8" s="421"/>
      <c r="E8" s="421"/>
      <c r="F8" s="422"/>
      <c r="G8" s="421"/>
      <c r="H8" s="422"/>
      <c r="I8" s="423"/>
      <c r="J8" s="424"/>
      <c r="K8" s="425"/>
      <c r="L8" s="425"/>
    </row>
    <row r="9" spans="2:12" ht="19.5" customHeight="1">
      <c r="B9" s="426">
        <v>1</v>
      </c>
      <c r="C9" s="420"/>
      <c r="D9" s="427"/>
      <c r="E9" s="428"/>
      <c r="F9" s="429"/>
      <c r="G9" s="428"/>
      <c r="H9" s="430"/>
      <c r="I9" s="430"/>
      <c r="J9" s="431">
        <f>ROUND(H9-I9,0)</f>
        <v>0</v>
      </c>
      <c r="K9" s="432"/>
      <c r="L9" s="432"/>
    </row>
    <row r="10" spans="2:12" ht="19.5" customHeight="1">
      <c r="B10" s="433"/>
      <c r="C10" s="420"/>
      <c r="D10" s="421"/>
      <c r="E10" s="421"/>
      <c r="F10" s="434"/>
      <c r="G10" s="421"/>
      <c r="H10" s="422"/>
      <c r="I10" s="435"/>
      <c r="J10" s="436"/>
      <c r="K10" s="432"/>
      <c r="L10" s="432"/>
    </row>
    <row r="11" spans="2:12" ht="19.5" customHeight="1">
      <c r="B11" s="419"/>
      <c r="C11" s="420"/>
      <c r="D11" s="421"/>
      <c r="E11" s="421"/>
      <c r="F11" s="434"/>
      <c r="G11" s="421"/>
      <c r="H11" s="422"/>
      <c r="I11" s="435"/>
      <c r="J11" s="436"/>
      <c r="K11" s="432"/>
      <c r="L11" s="432"/>
    </row>
    <row r="12" spans="2:12" ht="19.5" customHeight="1">
      <c r="B12" s="426">
        <v>2</v>
      </c>
      <c r="C12" s="420"/>
      <c r="D12" s="437"/>
      <c r="E12" s="438"/>
      <c r="F12" s="439"/>
      <c r="G12" s="438"/>
      <c r="H12" s="438"/>
      <c r="I12" s="440"/>
      <c r="J12" s="431">
        <f>ROUND(H12-I12,0)</f>
        <v>0</v>
      </c>
      <c r="K12" s="441"/>
      <c r="L12" s="441"/>
    </row>
    <row r="13" spans="2:12" ht="19.5" customHeight="1">
      <c r="B13" s="433"/>
      <c r="C13" s="420"/>
      <c r="D13" s="421"/>
      <c r="E13" s="421"/>
      <c r="F13" s="434"/>
      <c r="G13" s="421"/>
      <c r="H13" s="422"/>
      <c r="I13" s="435"/>
      <c r="J13" s="436"/>
      <c r="K13" s="432"/>
      <c r="L13" s="432"/>
    </row>
    <row r="14" spans="2:12" ht="19.5" customHeight="1">
      <c r="B14" s="419"/>
      <c r="C14" s="420"/>
      <c r="D14" s="421"/>
      <c r="E14" s="421"/>
      <c r="F14" s="434"/>
      <c r="G14" s="421"/>
      <c r="H14" s="422"/>
      <c r="I14" s="435"/>
      <c r="J14" s="436"/>
      <c r="K14" s="432"/>
      <c r="L14" s="432"/>
    </row>
    <row r="15" spans="2:12" ht="19.5" customHeight="1">
      <c r="B15" s="426">
        <v>3</v>
      </c>
      <c r="C15" s="420"/>
      <c r="D15" s="427"/>
      <c r="E15" s="428"/>
      <c r="F15" s="429"/>
      <c r="G15" s="428"/>
      <c r="H15" s="430"/>
      <c r="I15" s="430"/>
      <c r="J15" s="431">
        <f>ROUND(H15-I15,0)</f>
        <v>0</v>
      </c>
      <c r="K15" s="432"/>
      <c r="L15" s="432"/>
    </row>
    <row r="16" spans="2:12" ht="19.5" customHeight="1">
      <c r="B16" s="433"/>
      <c r="C16" s="420"/>
      <c r="D16" s="421"/>
      <c r="E16" s="421"/>
      <c r="F16" s="434"/>
      <c r="G16" s="421"/>
      <c r="H16" s="422"/>
      <c r="I16" s="435"/>
      <c r="J16" s="436"/>
      <c r="K16" s="432"/>
      <c r="L16" s="432"/>
    </row>
    <row r="17" spans="2:12" ht="19.5" customHeight="1">
      <c r="B17" s="419"/>
      <c r="C17" s="420"/>
      <c r="D17" s="421"/>
      <c r="E17" s="421"/>
      <c r="F17" s="434"/>
      <c r="G17" s="421"/>
      <c r="H17" s="422"/>
      <c r="I17" s="435"/>
      <c r="J17" s="436"/>
      <c r="K17" s="432"/>
      <c r="L17" s="432"/>
    </row>
    <row r="18" spans="2:12" ht="19.5" customHeight="1">
      <c r="B18" s="426">
        <v>4</v>
      </c>
      <c r="C18" s="420"/>
      <c r="D18" s="427"/>
      <c r="E18" s="428"/>
      <c r="F18" s="429"/>
      <c r="G18" s="428"/>
      <c r="H18" s="430"/>
      <c r="I18" s="430"/>
      <c r="J18" s="431">
        <f>ROUND(H18-I18,0)</f>
        <v>0</v>
      </c>
      <c r="K18" s="432"/>
      <c r="L18" s="432"/>
    </row>
    <row r="19" spans="2:12" ht="19.5" customHeight="1">
      <c r="B19" s="433"/>
      <c r="C19" s="420"/>
      <c r="D19" s="421"/>
      <c r="E19" s="421"/>
      <c r="F19" s="434"/>
      <c r="G19" s="421"/>
      <c r="H19" s="422"/>
      <c r="I19" s="435"/>
      <c r="J19" s="436"/>
      <c r="K19" s="432"/>
      <c r="L19" s="432"/>
    </row>
    <row r="20" spans="2:12" ht="19.5" customHeight="1">
      <c r="B20" s="419"/>
      <c r="C20" s="420"/>
      <c r="D20" s="421"/>
      <c r="E20" s="421"/>
      <c r="F20" s="434"/>
      <c r="G20" s="421"/>
      <c r="H20" s="422"/>
      <c r="I20" s="435"/>
      <c r="J20" s="436"/>
      <c r="K20" s="432"/>
      <c r="L20" s="432"/>
    </row>
    <row r="21" spans="2:12" ht="19.5" customHeight="1">
      <c r="B21" s="426">
        <v>5</v>
      </c>
      <c r="C21" s="420"/>
      <c r="D21" s="427"/>
      <c r="E21" s="428"/>
      <c r="F21" s="429"/>
      <c r="G21" s="428"/>
      <c r="H21" s="430"/>
      <c r="I21" s="430"/>
      <c r="J21" s="431">
        <f>ROUND(H21-I21,0)</f>
        <v>0</v>
      </c>
      <c r="K21" s="432"/>
      <c r="L21" s="432"/>
    </row>
    <row r="22" spans="2:12" ht="19.5" customHeight="1">
      <c r="B22" s="433"/>
      <c r="C22" s="420"/>
      <c r="D22" s="421"/>
      <c r="E22" s="421"/>
      <c r="F22" s="434"/>
      <c r="G22" s="421"/>
      <c r="H22" s="422"/>
      <c r="I22" s="435"/>
      <c r="J22" s="436"/>
      <c r="K22" s="432"/>
      <c r="L22" s="432"/>
    </row>
    <row r="23" spans="2:12" ht="19.5" customHeight="1">
      <c r="B23" s="419"/>
      <c r="C23" s="420"/>
      <c r="D23" s="421"/>
      <c r="E23" s="421"/>
      <c r="F23" s="434"/>
      <c r="G23" s="421"/>
      <c r="H23" s="422"/>
      <c r="I23" s="435"/>
      <c r="J23" s="436"/>
      <c r="K23" s="432"/>
      <c r="L23" s="432"/>
    </row>
    <row r="24" spans="2:12" ht="19.5" customHeight="1">
      <c r="B24" s="426">
        <v>6</v>
      </c>
      <c r="C24" s="420"/>
      <c r="D24" s="427"/>
      <c r="E24" s="428"/>
      <c r="F24" s="429"/>
      <c r="G24" s="428"/>
      <c r="H24" s="430"/>
      <c r="I24" s="430"/>
      <c r="J24" s="431">
        <f>ROUND(H24-I24,0)</f>
        <v>0</v>
      </c>
      <c r="K24" s="432"/>
      <c r="L24" s="432"/>
    </row>
    <row r="25" spans="2:12" ht="19.5" customHeight="1">
      <c r="B25" s="433"/>
      <c r="C25" s="420"/>
      <c r="D25" s="421"/>
      <c r="E25" s="421"/>
      <c r="F25" s="421"/>
      <c r="G25" s="421"/>
      <c r="H25" s="422"/>
      <c r="I25" s="435"/>
      <c r="J25" s="436"/>
      <c r="K25" s="432"/>
      <c r="L25" s="432"/>
    </row>
    <row r="26" spans="2:12" ht="19.5" customHeight="1">
      <c r="B26" s="433"/>
      <c r="C26" s="442" t="s">
        <v>352</v>
      </c>
      <c r="D26" s="443"/>
      <c r="E26" s="443"/>
      <c r="F26" s="443"/>
      <c r="G26" s="443"/>
      <c r="H26" s="444"/>
      <c r="I26" s="445"/>
      <c r="J26" s="446"/>
      <c r="K26" s="432"/>
      <c r="L26" s="432"/>
    </row>
    <row r="27" spans="2:12" ht="15" customHeight="1">
      <c r="B27" s="447"/>
      <c r="C27" s="448"/>
      <c r="D27" s="449"/>
      <c r="E27" s="449"/>
      <c r="F27" s="449"/>
      <c r="G27" s="449"/>
      <c r="H27" s="450"/>
      <c r="I27" s="451"/>
      <c r="J27" s="452"/>
      <c r="K27" s="432"/>
      <c r="L27" s="432"/>
    </row>
    <row r="28" spans="2:12" ht="15" customHeight="1" thickBot="1">
      <c r="B28" s="453"/>
      <c r="C28" s="454"/>
      <c r="D28" s="455"/>
      <c r="E28" s="455"/>
      <c r="F28" s="455"/>
      <c r="G28" s="455"/>
      <c r="H28" s="455"/>
      <c r="I28" s="456"/>
      <c r="J28" s="457"/>
      <c r="K28" s="432"/>
      <c r="L28" s="432"/>
    </row>
    <row r="29" spans="1:13" ht="27" thickBot="1">
      <c r="A29" s="404" t="s">
        <v>353</v>
      </c>
      <c r="B29" s="405"/>
      <c r="C29" s="405"/>
      <c r="D29" s="405"/>
      <c r="E29" s="405"/>
      <c r="F29" s="405"/>
      <c r="G29" s="405"/>
      <c r="H29" s="405"/>
      <c r="I29" s="408"/>
      <c r="J29" s="405"/>
      <c r="K29" s="405"/>
      <c r="L29" s="405"/>
      <c r="M29" s="405"/>
    </row>
    <row r="30" spans="2:12" ht="13.5" customHeight="1">
      <c r="B30" s="458"/>
      <c r="C30" s="459"/>
      <c r="D30" s="460"/>
      <c r="E30" s="461" t="s">
        <v>354</v>
      </c>
      <c r="F30" s="462"/>
      <c r="G30" s="463" t="s">
        <v>355</v>
      </c>
      <c r="H30" s="460"/>
      <c r="I30" s="464"/>
      <c r="J30" s="463" t="s">
        <v>419</v>
      </c>
      <c r="K30" s="465"/>
      <c r="L30" s="466"/>
    </row>
    <row r="31" spans="2:12" ht="27.75" customHeight="1">
      <c r="B31" s="467" t="s">
        <v>181</v>
      </c>
      <c r="C31" s="468" t="s">
        <v>356</v>
      </c>
      <c r="D31" s="469" t="s">
        <v>357</v>
      </c>
      <c r="E31" s="470" t="s">
        <v>358</v>
      </c>
      <c r="F31" s="468" t="s">
        <v>359</v>
      </c>
      <c r="G31" s="468" t="s">
        <v>360</v>
      </c>
      <c r="H31" s="471" t="s">
        <v>361</v>
      </c>
      <c r="I31" s="472" t="s">
        <v>362</v>
      </c>
      <c r="J31" s="473" t="s">
        <v>363</v>
      </c>
      <c r="K31" s="474" t="s">
        <v>364</v>
      </c>
      <c r="L31" s="475" t="s">
        <v>365</v>
      </c>
    </row>
    <row r="32" spans="2:13" ht="12.75" customHeight="1">
      <c r="B32" s="476"/>
      <c r="C32" s="477" t="s">
        <v>473</v>
      </c>
      <c r="D32" s="478"/>
      <c r="E32" s="416" t="s">
        <v>474</v>
      </c>
      <c r="F32" s="479" t="s">
        <v>475</v>
      </c>
      <c r="G32" s="479" t="s">
        <v>476</v>
      </c>
      <c r="H32" s="479" t="s">
        <v>477</v>
      </c>
      <c r="I32" s="480" t="s">
        <v>478</v>
      </c>
      <c r="J32" s="416" t="s">
        <v>479</v>
      </c>
      <c r="K32" s="479" t="s">
        <v>182</v>
      </c>
      <c r="L32" s="417" t="s">
        <v>183</v>
      </c>
      <c r="M32" s="481"/>
    </row>
    <row r="33" spans="2:12" ht="19.5" customHeight="1">
      <c r="B33" s="482">
        <v>7</v>
      </c>
      <c r="C33" s="448"/>
      <c r="D33" s="483"/>
      <c r="E33" s="484"/>
      <c r="F33" s="485"/>
      <c r="G33" s="486"/>
      <c r="H33" s="487"/>
      <c r="I33" s="488"/>
      <c r="J33" s="489"/>
      <c r="K33" s="490">
        <f>ROUND(SUM(H33:J33),0)</f>
        <v>0</v>
      </c>
      <c r="L33" s="491"/>
    </row>
    <row r="34" spans="2:12" ht="19.5" customHeight="1">
      <c r="B34" s="482">
        <v>8</v>
      </c>
      <c r="C34" s="448"/>
      <c r="D34" s="483"/>
      <c r="E34" s="484"/>
      <c r="F34" s="485"/>
      <c r="G34" s="486"/>
      <c r="H34" s="487"/>
      <c r="I34" s="488"/>
      <c r="J34" s="489"/>
      <c r="K34" s="490">
        <f>ROUND(SUM(H34:J34),0)</f>
        <v>0</v>
      </c>
      <c r="L34" s="491"/>
    </row>
    <row r="35" spans="2:12" ht="19.5" customHeight="1">
      <c r="B35" s="482">
        <v>9</v>
      </c>
      <c r="C35" s="448"/>
      <c r="D35" s="483"/>
      <c r="E35" s="484"/>
      <c r="F35" s="485"/>
      <c r="G35" s="486"/>
      <c r="H35" s="487"/>
      <c r="I35" s="488"/>
      <c r="J35" s="489"/>
      <c r="K35" s="490">
        <f>ROUND(SUM(H35:J35),0)</f>
        <v>0</v>
      </c>
      <c r="L35" s="491"/>
    </row>
    <row r="36" spans="2:12" ht="19.5" customHeight="1">
      <c r="B36" s="482">
        <v>10</v>
      </c>
      <c r="C36" s="448"/>
      <c r="D36" s="483"/>
      <c r="E36" s="484"/>
      <c r="F36" s="485"/>
      <c r="G36" s="486"/>
      <c r="H36" s="487"/>
      <c r="I36" s="488"/>
      <c r="J36" s="489"/>
      <c r="K36" s="490">
        <f>ROUND(SUM(H36:J36),0)</f>
        <v>0</v>
      </c>
      <c r="L36" s="491"/>
    </row>
    <row r="37" spans="2:12" ht="19.5" customHeight="1" thickBot="1">
      <c r="B37" s="492">
        <v>11</v>
      </c>
      <c r="C37" s="493"/>
      <c r="D37" s="494"/>
      <c r="E37" s="495"/>
      <c r="F37" s="496"/>
      <c r="G37" s="497"/>
      <c r="H37" s="498"/>
      <c r="I37" s="499"/>
      <c r="J37" s="500"/>
      <c r="K37" s="501">
        <f>ROUND(SUM(H37:J37),0)</f>
        <v>0</v>
      </c>
      <c r="L37" s="502"/>
    </row>
    <row r="38" spans="2:3" ht="15.75">
      <c r="B38" s="503" t="s">
        <v>1012</v>
      </c>
      <c r="C38" s="504"/>
    </row>
    <row r="39" ht="15.75">
      <c r="B39" s="503" t="s">
        <v>366</v>
      </c>
    </row>
  </sheetData>
  <sheetProtection password="EE7C" sheet="1"/>
  <printOptions/>
  <pageMargins left="0.2" right="0.22" top="0.17" bottom="0.34" header="0.19" footer="0.21"/>
  <pageSetup fitToHeight="1" fitToWidth="1" horizontalDpi="600" verticalDpi="600" orientation="landscape" scale="67" r:id="rId1"/>
  <headerFooter alignWithMargins="0">
    <oddFooter>&amp;LDSHS 23-003&amp;C20&amp;RSchedule G-1</oddFooter>
  </headerFooter>
</worksheet>
</file>

<file path=xl/worksheets/sheet7.xml><?xml version="1.0" encoding="utf-8"?>
<worksheet xmlns="http://schemas.openxmlformats.org/spreadsheetml/2006/main" xmlns:r="http://schemas.openxmlformats.org/officeDocument/2006/relationships">
  <dimension ref="A1:B32"/>
  <sheetViews>
    <sheetView zoomScalePageLayoutView="0" workbookViewId="0" topLeftCell="A1">
      <selection activeCell="D33" sqref="D33"/>
    </sheetView>
  </sheetViews>
  <sheetFormatPr defaultColWidth="9.140625" defaultRowHeight="12.75"/>
  <cols>
    <col min="1" max="1" width="12.28125" style="0" customWidth="1"/>
    <col min="2" max="2" width="11.57421875" style="0" customWidth="1"/>
  </cols>
  <sheetData>
    <row r="1" spans="1:2" ht="14.25" thickBot="1" thickTop="1">
      <c r="A1" s="899" t="s">
        <v>367</v>
      </c>
      <c r="B1" s="900"/>
    </row>
    <row r="2" spans="1:2" ht="13.5" thickTop="1">
      <c r="A2" s="901" t="s">
        <v>368</v>
      </c>
      <c r="B2" s="902">
        <v>2</v>
      </c>
    </row>
    <row r="3" spans="1:2" ht="12.75">
      <c r="A3" s="903" t="s">
        <v>369</v>
      </c>
      <c r="B3" s="904">
        <v>0</v>
      </c>
    </row>
    <row r="4" spans="1:2" ht="12.75">
      <c r="A4" s="903" t="s">
        <v>370</v>
      </c>
      <c r="B4" s="904">
        <v>3</v>
      </c>
    </row>
    <row r="5" spans="1:2" ht="12.75">
      <c r="A5" s="903" t="s">
        <v>371</v>
      </c>
      <c r="B5" s="904">
        <v>1</v>
      </c>
    </row>
    <row r="6" spans="1:2" ht="12.75">
      <c r="A6" s="903" t="s">
        <v>372</v>
      </c>
      <c r="B6" s="904">
        <v>0</v>
      </c>
    </row>
    <row r="7" spans="1:2" ht="12.75">
      <c r="A7" s="903" t="s">
        <v>373</v>
      </c>
      <c r="B7" s="904">
        <v>0</v>
      </c>
    </row>
    <row r="8" spans="1:2" ht="12.75">
      <c r="A8" s="903" t="s">
        <v>374</v>
      </c>
      <c r="B8" s="904">
        <v>0</v>
      </c>
    </row>
    <row r="9" spans="1:2" ht="12.75">
      <c r="A9" s="903" t="s">
        <v>375</v>
      </c>
      <c r="B9" s="908">
        <v>0</v>
      </c>
    </row>
    <row r="10" spans="1:2" ht="12.75">
      <c r="A10" s="903" t="s">
        <v>376</v>
      </c>
      <c r="B10" s="904">
        <v>0</v>
      </c>
    </row>
    <row r="11" spans="1:2" ht="12.75">
      <c r="A11" s="903" t="s">
        <v>377</v>
      </c>
      <c r="B11" s="904">
        <v>0</v>
      </c>
    </row>
    <row r="12" spans="1:2" ht="12.75">
      <c r="A12" s="903" t="s">
        <v>378</v>
      </c>
      <c r="B12" s="904">
        <v>0</v>
      </c>
    </row>
    <row r="13" spans="1:2" ht="12.75">
      <c r="A13" s="903" t="s">
        <v>379</v>
      </c>
      <c r="B13" s="904">
        <v>1</v>
      </c>
    </row>
    <row r="14" spans="1:2" ht="12.75">
      <c r="A14" s="903" t="s">
        <v>380</v>
      </c>
      <c r="B14" s="904">
        <v>1</v>
      </c>
    </row>
    <row r="15" spans="1:2" ht="12.75">
      <c r="A15" s="903" t="s">
        <v>381</v>
      </c>
      <c r="B15" s="904" t="b">
        <v>0</v>
      </c>
    </row>
    <row r="16" spans="1:2" ht="12.75">
      <c r="A16" s="905" t="s">
        <v>382</v>
      </c>
      <c r="B16" s="904" t="b">
        <v>0</v>
      </c>
    </row>
    <row r="17" spans="1:2" ht="12.75">
      <c r="A17" s="903" t="s">
        <v>383</v>
      </c>
      <c r="B17" s="904" t="b">
        <v>0</v>
      </c>
    </row>
    <row r="18" spans="1:2" ht="12.75">
      <c r="A18" s="903" t="s">
        <v>384</v>
      </c>
      <c r="B18" s="904" t="b">
        <v>0</v>
      </c>
    </row>
    <row r="19" spans="1:2" ht="12.75">
      <c r="A19" s="903" t="s">
        <v>385</v>
      </c>
      <c r="B19" s="904" t="b">
        <v>1</v>
      </c>
    </row>
    <row r="20" spans="1:2" ht="12.75">
      <c r="A20" s="903" t="s">
        <v>386</v>
      </c>
      <c r="B20" s="904" t="b">
        <v>0</v>
      </c>
    </row>
    <row r="21" spans="1:2" ht="12.75">
      <c r="A21" s="903" t="s">
        <v>387</v>
      </c>
      <c r="B21" s="904" t="b">
        <v>0</v>
      </c>
    </row>
    <row r="22" spans="1:2" ht="13.5" thickBot="1">
      <c r="A22" s="906" t="s">
        <v>388</v>
      </c>
      <c r="B22" s="907"/>
    </row>
    <row r="23" spans="1:2" ht="14.25" thickBot="1" thickTop="1">
      <c r="A23" s="906" t="s">
        <v>389</v>
      </c>
      <c r="B23" s="907" t="b">
        <v>0</v>
      </c>
    </row>
    <row r="24" spans="1:2" ht="14.25" thickBot="1" thickTop="1">
      <c r="A24" s="906" t="s">
        <v>390</v>
      </c>
      <c r="B24" s="907" t="b">
        <v>0</v>
      </c>
    </row>
    <row r="25" spans="1:2" ht="14.25" thickBot="1" thickTop="1">
      <c r="A25" s="906" t="s">
        <v>391</v>
      </c>
      <c r="B25" s="907" t="b">
        <v>0</v>
      </c>
    </row>
    <row r="26" spans="1:2" ht="14.25" thickBot="1" thickTop="1">
      <c r="A26" s="906" t="s">
        <v>392</v>
      </c>
      <c r="B26" s="907" t="b">
        <v>1</v>
      </c>
    </row>
    <row r="27" spans="1:2" ht="14.25" thickBot="1" thickTop="1">
      <c r="A27" s="906" t="s">
        <v>393</v>
      </c>
      <c r="B27" s="907"/>
    </row>
    <row r="28" spans="1:2" ht="14.25" thickBot="1" thickTop="1">
      <c r="A28" s="906" t="s">
        <v>394</v>
      </c>
      <c r="B28" s="907">
        <v>1</v>
      </c>
    </row>
    <row r="29" spans="1:2" ht="14.25" thickBot="1" thickTop="1">
      <c r="A29" s="906"/>
      <c r="B29" s="907"/>
    </row>
    <row r="30" spans="1:2" ht="14.25" thickBot="1" thickTop="1">
      <c r="A30" s="906"/>
      <c r="B30" s="907"/>
    </row>
    <row r="31" spans="1:2" ht="13.5" thickTop="1">
      <c r="A31" s="905" t="s">
        <v>254</v>
      </c>
      <c r="B31" s="904" t="b">
        <v>0</v>
      </c>
    </row>
    <row r="32" spans="1:2" ht="12.75">
      <c r="A32" s="903" t="s">
        <v>255</v>
      </c>
      <c r="B32" s="904" t="b">
        <v>1</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4"/>
  <sheetViews>
    <sheetView zoomScale="75" zoomScaleNormal="75" workbookViewId="0" topLeftCell="A1">
      <selection activeCell="H2" sqref="H2"/>
    </sheetView>
  </sheetViews>
  <sheetFormatPr defaultColWidth="9.140625" defaultRowHeight="12.75"/>
  <cols>
    <col min="1" max="1" width="2.00390625" style="505" customWidth="1"/>
    <col min="2" max="2" width="9.421875" style="505" customWidth="1"/>
    <col min="3" max="3" width="68.421875" style="505" customWidth="1"/>
    <col min="4" max="4" width="106.7109375" style="505" customWidth="1"/>
    <col min="5" max="5" width="50.7109375" style="510" customWidth="1"/>
    <col min="6" max="6" width="25.7109375" style="510" customWidth="1"/>
    <col min="7" max="8" width="35.7109375" style="505" customWidth="1"/>
    <col min="9" max="9" width="66.28125" style="505" customWidth="1"/>
    <col min="10" max="10" width="8.7109375" style="505" customWidth="1"/>
    <col min="11" max="16384" width="9.140625" style="505" customWidth="1"/>
  </cols>
  <sheetData>
    <row r="1" spans="1:10" s="956" customFormat="1" ht="40.5" customHeight="1" thickBot="1">
      <c r="A1" s="1182" t="s">
        <v>1</v>
      </c>
      <c r="B1" s="1882" t="s">
        <v>252</v>
      </c>
      <c r="C1" s="1882"/>
      <c r="D1" s="1882"/>
      <c r="E1" s="1882"/>
      <c r="F1" s="1882"/>
      <c r="G1" s="1882"/>
      <c r="H1" s="1882"/>
      <c r="I1" s="1624"/>
      <c r="J1" s="1182"/>
    </row>
    <row r="2" spans="3:8" s="956" customFormat="1" ht="16.5" thickBot="1">
      <c r="C2" s="957" t="s">
        <v>265</v>
      </c>
      <c r="D2" s="958">
        <f>_C000027</f>
        <v>0</v>
      </c>
      <c r="F2" s="1423"/>
      <c r="G2" s="410" t="s">
        <v>662</v>
      </c>
      <c r="H2" s="1374"/>
    </row>
    <row r="3" spans="3:9" s="956" customFormat="1" ht="15.75">
      <c r="C3" s="957" t="s">
        <v>266</v>
      </c>
      <c r="D3" s="959">
        <f>+Schedule_A!$I$8</f>
        <v>0</v>
      </c>
      <c r="E3" s="1490" t="str">
        <f>Schedule_A!A3</f>
        <v>NURSING FACILITY 2019 COST REPORT</v>
      </c>
      <c r="F3" s="1423"/>
      <c r="I3" s="1184"/>
    </row>
    <row r="4" spans="4:9" s="956" customFormat="1" ht="15.75">
      <c r="D4" s="957"/>
      <c r="F4" s="1423"/>
      <c r="I4" s="1184"/>
    </row>
    <row r="5" spans="2:8" s="956" customFormat="1" ht="19.5" thickBot="1">
      <c r="B5" s="1484" t="s">
        <v>246</v>
      </c>
      <c r="C5" s="1484"/>
      <c r="F5" s="959"/>
      <c r="H5" s="1185"/>
    </row>
    <row r="6" spans="2:10" s="956" customFormat="1" ht="45.75" customHeight="1" thickBot="1">
      <c r="B6" s="1479" t="s">
        <v>181</v>
      </c>
      <c r="C6" s="1491" t="s">
        <v>273</v>
      </c>
      <c r="D6" s="1472" t="s">
        <v>678</v>
      </c>
      <c r="E6" s="1473" t="s">
        <v>681</v>
      </c>
      <c r="F6" s="1474" t="s">
        <v>674</v>
      </c>
      <c r="G6" s="1474" t="s">
        <v>395</v>
      </c>
      <c r="H6" s="1475" t="s">
        <v>676</v>
      </c>
      <c r="J6" s="1422"/>
    </row>
    <row r="7" spans="2:10" s="956" customFormat="1" ht="18.75" customHeight="1" thickBot="1">
      <c r="B7" s="1463"/>
      <c r="C7" s="1478" t="s">
        <v>473</v>
      </c>
      <c r="D7" s="1478" t="s">
        <v>474</v>
      </c>
      <c r="E7" s="1478" t="s">
        <v>475</v>
      </c>
      <c r="F7" s="1478" t="s">
        <v>476</v>
      </c>
      <c r="G7" s="1478" t="s">
        <v>477</v>
      </c>
      <c r="H7" s="1478" t="s">
        <v>478</v>
      </c>
      <c r="J7" s="1186"/>
    </row>
    <row r="8" spans="1:10" s="506" customFormat="1" ht="34.5" customHeight="1" thickTop="1">
      <c r="A8" s="1187"/>
      <c r="B8" s="1447">
        <v>1</v>
      </c>
      <c r="C8" s="1511"/>
      <c r="D8" s="1480" t="str">
        <f>"General Management Services (Salaries and Benefits) Schedule G Line "&amp;Schedule_G!B202</f>
        <v>General Management Services (Salaries and Benefits) Schedule G Line 156</v>
      </c>
      <c r="E8" s="1432"/>
      <c r="F8" s="1482">
        <v>5495</v>
      </c>
      <c r="G8" s="1449"/>
      <c r="H8" s="1450"/>
      <c r="J8" s="946"/>
    </row>
    <row r="9" spans="1:10" s="506" customFormat="1" ht="34.5" customHeight="1">
      <c r="A9" s="1187"/>
      <c r="B9" s="1448">
        <v>2</v>
      </c>
      <c r="C9" s="1511"/>
      <c r="D9" s="1480" t="str">
        <f>"General Management Services (Overhead Costs) Schedule G Line "&amp;Schedule_G!B202</f>
        <v>General Management Services (Overhead Costs) Schedule G Line 156</v>
      </c>
      <c r="E9" s="1432"/>
      <c r="F9" s="1482">
        <v>5495</v>
      </c>
      <c r="G9" s="1449"/>
      <c r="H9" s="1450"/>
      <c r="J9" s="946"/>
    </row>
    <row r="10" spans="1:10" s="506" customFormat="1" ht="34.5" customHeight="1" thickBot="1">
      <c r="A10" s="1187"/>
      <c r="B10" s="1451">
        <v>3</v>
      </c>
      <c r="C10" s="1512"/>
      <c r="D10" s="1481" t="str">
        <f>Schedule_G!D203&amp;" Schedule G Line "&amp;Schedule_G!B203</f>
        <v>Allocated Management Fees  Schedule G Line 157</v>
      </c>
      <c r="E10" s="1468"/>
      <c r="F10" s="1483">
        <v>5417</v>
      </c>
      <c r="G10" s="1469"/>
      <c r="H10" s="1470"/>
      <c r="J10" s="946"/>
    </row>
    <row r="11" spans="1:10" ht="42.75" customHeight="1" thickBot="1">
      <c r="A11" s="956"/>
      <c r="B11" s="1463"/>
      <c r="C11" s="1491" t="s">
        <v>273</v>
      </c>
      <c r="D11" s="1476" t="s">
        <v>679</v>
      </c>
      <c r="E11" s="1473" t="s">
        <v>681</v>
      </c>
      <c r="F11" s="1474" t="s">
        <v>674</v>
      </c>
      <c r="G11" s="1474" t="s">
        <v>395</v>
      </c>
      <c r="H11" s="1477" t="s">
        <v>676</v>
      </c>
      <c r="J11" s="945"/>
    </row>
    <row r="12" spans="1:10" s="507" customFormat="1" ht="34.5" customHeight="1">
      <c r="A12" s="1188"/>
      <c r="B12" s="1464">
        <v>4</v>
      </c>
      <c r="C12" s="1460"/>
      <c r="D12" s="1466"/>
      <c r="E12" s="1461"/>
      <c r="F12" s="1462"/>
      <c r="G12" s="1433"/>
      <c r="H12" s="1434"/>
      <c r="J12" s="947"/>
    </row>
    <row r="13" spans="1:10" ht="34.5" customHeight="1">
      <c r="A13" s="956"/>
      <c r="B13" s="1464">
        <v>5</v>
      </c>
      <c r="C13" s="1460"/>
      <c r="D13" s="1466"/>
      <c r="E13" s="1461"/>
      <c r="F13" s="1462"/>
      <c r="G13" s="1433"/>
      <c r="H13" s="1434"/>
      <c r="J13" s="945"/>
    </row>
    <row r="14" spans="1:10" s="507" customFormat="1" ht="34.5" customHeight="1">
      <c r="A14" s="1188"/>
      <c r="B14" s="1464">
        <v>6</v>
      </c>
      <c r="C14" s="1460"/>
      <c r="D14" s="1466"/>
      <c r="E14" s="1461"/>
      <c r="F14" s="1462"/>
      <c r="G14" s="1433"/>
      <c r="H14" s="1434"/>
      <c r="J14" s="947"/>
    </row>
    <row r="15" spans="1:10" ht="34.5" customHeight="1">
      <c r="A15" s="956"/>
      <c r="B15" s="1464">
        <v>7</v>
      </c>
      <c r="C15" s="1460"/>
      <c r="D15" s="1466"/>
      <c r="E15" s="1461"/>
      <c r="F15" s="1462"/>
      <c r="G15" s="1433"/>
      <c r="H15" s="1434"/>
      <c r="J15" s="945"/>
    </row>
    <row r="16" spans="1:10" s="507" customFormat="1" ht="34.5" customHeight="1">
      <c r="A16" s="1188"/>
      <c r="B16" s="1464">
        <v>8</v>
      </c>
      <c r="C16" s="1460"/>
      <c r="D16" s="1466"/>
      <c r="E16" s="1461"/>
      <c r="F16" s="1462"/>
      <c r="G16" s="1433"/>
      <c r="H16" s="1434"/>
      <c r="J16" s="947"/>
    </row>
    <row r="17" spans="1:10" ht="34.5" customHeight="1">
      <c r="A17" s="956"/>
      <c r="B17" s="1464">
        <v>9</v>
      </c>
      <c r="C17" s="1460"/>
      <c r="D17" s="1466"/>
      <c r="E17" s="1461"/>
      <c r="F17" s="1462"/>
      <c r="G17" s="1433"/>
      <c r="H17" s="1434"/>
      <c r="J17" s="945"/>
    </row>
    <row r="18" spans="1:10" s="508" customFormat="1" ht="34.5" customHeight="1">
      <c r="A18" s="1189"/>
      <c r="B18" s="1464">
        <v>10</v>
      </c>
      <c r="C18" s="1460"/>
      <c r="D18" s="1466"/>
      <c r="E18" s="1461"/>
      <c r="F18" s="1462"/>
      <c r="G18" s="1433"/>
      <c r="H18" s="1434"/>
      <c r="J18" s="948"/>
    </row>
    <row r="19" spans="1:10" ht="34.5" customHeight="1">
      <c r="A19" s="956"/>
      <c r="B19" s="1464">
        <v>11</v>
      </c>
      <c r="C19" s="1460"/>
      <c r="D19" s="1466"/>
      <c r="E19" s="1461"/>
      <c r="F19" s="1462"/>
      <c r="G19" s="1433"/>
      <c r="H19" s="1434"/>
      <c r="J19" s="945"/>
    </row>
    <row r="20" spans="1:10" s="509" customFormat="1" ht="34.5" customHeight="1">
      <c r="A20" s="1190"/>
      <c r="B20" s="1464">
        <v>12</v>
      </c>
      <c r="C20" s="1460"/>
      <c r="D20" s="1466"/>
      <c r="E20" s="1461"/>
      <c r="F20" s="1462"/>
      <c r="G20" s="1433"/>
      <c r="H20" s="1434"/>
      <c r="J20" s="949"/>
    </row>
    <row r="21" spans="1:10" ht="34.5" customHeight="1">
      <c r="A21" s="956"/>
      <c r="B21" s="1464">
        <v>13</v>
      </c>
      <c r="C21" s="1460"/>
      <c r="D21" s="1466"/>
      <c r="E21" s="1461"/>
      <c r="F21" s="1462"/>
      <c r="G21" s="1433"/>
      <c r="H21" s="1434"/>
      <c r="J21" s="945"/>
    </row>
    <row r="22" spans="1:10" s="509" customFormat="1" ht="34.5" customHeight="1">
      <c r="A22" s="1190"/>
      <c r="B22" s="1464">
        <v>14</v>
      </c>
      <c r="C22" s="1460"/>
      <c r="D22" s="1466"/>
      <c r="E22" s="1461"/>
      <c r="F22" s="1462"/>
      <c r="G22" s="1433"/>
      <c r="H22" s="1434"/>
      <c r="J22" s="949"/>
    </row>
    <row r="23" spans="1:10" ht="34.5" customHeight="1">
      <c r="A23" s="956"/>
      <c r="B23" s="1464">
        <v>15</v>
      </c>
      <c r="C23" s="1460"/>
      <c r="D23" s="1466"/>
      <c r="E23" s="1461"/>
      <c r="F23" s="1462"/>
      <c r="G23" s="1433"/>
      <c r="H23" s="1434"/>
      <c r="J23" s="945"/>
    </row>
    <row r="24" spans="1:10" s="508" customFormat="1" ht="34.5" customHeight="1">
      <c r="A24" s="1189"/>
      <c r="B24" s="1464">
        <v>16</v>
      </c>
      <c r="C24" s="1460"/>
      <c r="D24" s="1466"/>
      <c r="E24" s="1461"/>
      <c r="F24" s="1462"/>
      <c r="G24" s="1433"/>
      <c r="H24" s="1434"/>
      <c r="J24" s="948"/>
    </row>
    <row r="25" spans="1:10" ht="34.5" customHeight="1">
      <c r="A25" s="956"/>
      <c r="B25" s="1464">
        <v>17</v>
      </c>
      <c r="C25" s="1460"/>
      <c r="D25" s="1466"/>
      <c r="E25" s="1461"/>
      <c r="F25" s="1462"/>
      <c r="G25" s="1433"/>
      <c r="H25" s="1434"/>
      <c r="J25" s="945"/>
    </row>
    <row r="26" spans="1:10" s="508" customFormat="1" ht="34.5" customHeight="1">
      <c r="A26" s="1189"/>
      <c r="B26" s="1464">
        <v>18</v>
      </c>
      <c r="C26" s="1460"/>
      <c r="D26" s="1466"/>
      <c r="E26" s="1461"/>
      <c r="F26" s="1462"/>
      <c r="G26" s="1433"/>
      <c r="H26" s="1434"/>
      <c r="J26" s="948"/>
    </row>
    <row r="27" spans="1:10" ht="34.5" customHeight="1" thickBot="1">
      <c r="A27" s="956"/>
      <c r="B27" s="1464">
        <v>19</v>
      </c>
      <c r="C27" s="1460"/>
      <c r="D27" s="1466"/>
      <c r="E27" s="1461"/>
      <c r="F27" s="1487"/>
      <c r="G27" s="1435"/>
      <c r="H27" s="1436"/>
      <c r="J27" s="945"/>
    </row>
    <row r="28" spans="1:10" ht="34.5" customHeight="1" thickBot="1">
      <c r="A28" s="956"/>
      <c r="B28" s="1465">
        <v>20</v>
      </c>
      <c r="C28" s="1437"/>
      <c r="D28" s="1489"/>
      <c r="E28" s="1486"/>
      <c r="F28" s="1492" t="s">
        <v>396</v>
      </c>
      <c r="G28" s="1493">
        <f>ROUND(SUM(G8:G27),0)</f>
        <v>0</v>
      </c>
      <c r="H28" s="1493">
        <f>ROUND(SUM(H8:H27),0)</f>
        <v>0</v>
      </c>
      <c r="J28" s="945"/>
    </row>
    <row r="29" spans="1:10" ht="15" customHeight="1">
      <c r="A29" s="956"/>
      <c r="B29" s="1440"/>
      <c r="C29" s="1440"/>
      <c r="D29" s="1498"/>
      <c r="E29" s="1438"/>
      <c r="F29" s="1438"/>
      <c r="G29" s="1494"/>
      <c r="H29" s="1439"/>
      <c r="I29" s="1439"/>
      <c r="J29" s="945"/>
    </row>
    <row r="30" spans="1:10" ht="15" customHeight="1">
      <c r="A30" s="956"/>
      <c r="B30" s="1440"/>
      <c r="C30" s="1440"/>
      <c r="D30" s="1498"/>
      <c r="E30" s="1505"/>
      <c r="F30" s="1506"/>
      <c r="G30" s="1441"/>
      <c r="H30" s="1439"/>
      <c r="I30" s="1439"/>
      <c r="J30" s="945"/>
    </row>
    <row r="31" spans="1:10" ht="15" customHeight="1">
      <c r="A31" s="956"/>
      <c r="H31" s="950"/>
      <c r="I31" s="950"/>
      <c r="J31" s="945"/>
    </row>
    <row r="32" spans="1:6" ht="15.75">
      <c r="A32" s="956"/>
      <c r="B32" s="956"/>
      <c r="C32" s="956"/>
      <c r="E32" s="505"/>
      <c r="F32" s="505"/>
    </row>
    <row r="33" spans="1:3" ht="15.75">
      <c r="A33" s="956"/>
      <c r="B33" s="956"/>
      <c r="C33" s="956"/>
    </row>
    <row r="34" spans="1:3" ht="15.75">
      <c r="A34" s="956"/>
      <c r="B34" s="956"/>
      <c r="C34" s="956"/>
    </row>
  </sheetData>
  <sheetProtection/>
  <mergeCells count="1">
    <mergeCell ref="B1:H1"/>
  </mergeCells>
  <printOptions/>
  <pageMargins left="0.25" right="0.25" top="0.25" bottom="0.25" header="0.5" footer="0.5"/>
  <pageSetup fitToHeight="1" fitToWidth="1" horizontalDpi="600" verticalDpi="600" orientation="landscape" scale="40" r:id="rId2"/>
  <headerFooter alignWithMargins="0">
    <oddFooter>&amp;L&amp;14DSHS 23-003&amp;C21&amp;RSchedule G-2 HO</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zoomScale="75" zoomScaleNormal="75" zoomScalePageLayoutView="0" workbookViewId="0" topLeftCell="A1">
      <selection activeCell="H2" sqref="H2"/>
    </sheetView>
  </sheetViews>
  <sheetFormatPr defaultColWidth="9.140625" defaultRowHeight="12.75"/>
  <cols>
    <col min="1" max="1" width="3.7109375" style="505" customWidth="1"/>
    <col min="2" max="2" width="10.57421875" style="505" customWidth="1"/>
    <col min="3" max="3" width="71.7109375" style="505" customWidth="1"/>
    <col min="4" max="4" width="115.00390625" style="505" customWidth="1"/>
    <col min="5" max="5" width="50.7109375" style="510" customWidth="1"/>
    <col min="6" max="6" width="25.7109375" style="510" customWidth="1"/>
    <col min="7" max="8" width="35.7109375" style="505" customWidth="1"/>
    <col min="9" max="9" width="8.7109375" style="505" customWidth="1"/>
    <col min="10" max="16384" width="9.140625" style="505" customWidth="1"/>
  </cols>
  <sheetData>
    <row r="1" spans="1:9" s="956" customFormat="1" ht="42.75" thickBot="1">
      <c r="A1" s="1182"/>
      <c r="B1" s="1183" t="s">
        <v>253</v>
      </c>
      <c r="C1" s="1183"/>
      <c r="D1" s="1182"/>
      <c r="E1" s="1182"/>
      <c r="F1" s="1182"/>
      <c r="G1" s="1182"/>
      <c r="H1" s="1182"/>
      <c r="I1" s="1182"/>
    </row>
    <row r="2" spans="3:8" s="1452" customFormat="1" ht="19.5" thickBot="1">
      <c r="C2" s="1453" t="s">
        <v>265</v>
      </c>
      <c r="D2" s="1454">
        <f>_C000027</f>
        <v>0</v>
      </c>
      <c r="F2" s="1455"/>
      <c r="G2" s="1485" t="s">
        <v>661</v>
      </c>
      <c r="H2" s="1456"/>
    </row>
    <row r="3" spans="3:6" s="1452" customFormat="1" ht="18.75">
      <c r="C3" s="1453" t="s">
        <v>266</v>
      </c>
      <c r="D3" s="1457">
        <f>+Schedule_A!$I$8</f>
        <v>0</v>
      </c>
      <c r="F3" s="1455"/>
    </row>
    <row r="4" spans="4:6" s="1452" customFormat="1" ht="18.75">
      <c r="D4" s="1488" t="str">
        <f>Schedule_A!A3</f>
        <v>NURSING FACILITY 2019 COST REPORT</v>
      </c>
      <c r="E4" s="1455"/>
      <c r="F4" s="1455"/>
    </row>
    <row r="5" spans="2:8" s="1452" customFormat="1" ht="19.5" thickBot="1">
      <c r="B5" s="1484" t="s">
        <v>247</v>
      </c>
      <c r="F5" s="1440"/>
      <c r="H5" s="1458"/>
    </row>
    <row r="6" spans="2:9" s="1452" customFormat="1" ht="51.75" customHeight="1" thickBot="1">
      <c r="B6" s="1479" t="s">
        <v>181</v>
      </c>
      <c r="C6" s="1471" t="s">
        <v>677</v>
      </c>
      <c r="D6" s="1472" t="s">
        <v>678</v>
      </c>
      <c r="E6" s="1473" t="s">
        <v>681</v>
      </c>
      <c r="F6" s="1474" t="s">
        <v>674</v>
      </c>
      <c r="G6" s="1474" t="s">
        <v>395</v>
      </c>
      <c r="H6" s="1475" t="s">
        <v>676</v>
      </c>
      <c r="I6" s="1459"/>
    </row>
    <row r="7" spans="2:9" s="956" customFormat="1" ht="15.75" customHeight="1" thickBot="1">
      <c r="B7" s="1463"/>
      <c r="C7" s="1478" t="s">
        <v>473</v>
      </c>
      <c r="D7" s="1478" t="s">
        <v>474</v>
      </c>
      <c r="E7" s="1478" t="s">
        <v>475</v>
      </c>
      <c r="F7" s="1478" t="s">
        <v>476</v>
      </c>
      <c r="G7" s="1478" t="s">
        <v>477</v>
      </c>
      <c r="H7" s="1478" t="s">
        <v>478</v>
      </c>
      <c r="I7" s="1186"/>
    </row>
    <row r="8" spans="1:9" s="1445" customFormat="1" ht="39.75" customHeight="1" thickTop="1">
      <c r="A8" s="1444"/>
      <c r="B8" s="1447">
        <v>1</v>
      </c>
      <c r="C8" s="1511"/>
      <c r="D8" s="1480" t="str">
        <f>"General Management Services (Salaries and Benefits) Schedule G Line "&amp;Schedule_G!B202</f>
        <v>General Management Services (Salaries and Benefits) Schedule G Line 156</v>
      </c>
      <c r="E8" s="1432"/>
      <c r="F8" s="1482">
        <v>5495</v>
      </c>
      <c r="G8" s="1449"/>
      <c r="H8" s="1450"/>
      <c r="I8" s="1444"/>
    </row>
    <row r="9" spans="1:9" s="1445" customFormat="1" ht="39.75" customHeight="1">
      <c r="A9" s="1444"/>
      <c r="B9" s="1448">
        <v>2</v>
      </c>
      <c r="C9" s="1511"/>
      <c r="D9" s="1480" t="str">
        <f>"General Management Services (Overhead Costs) Schedule G Line "&amp;Schedule_G!B202</f>
        <v>General Management Services (Overhead Costs) Schedule G Line 156</v>
      </c>
      <c r="E9" s="1432"/>
      <c r="F9" s="1482">
        <v>5495</v>
      </c>
      <c r="G9" s="1449"/>
      <c r="H9" s="1450"/>
      <c r="I9" s="1444"/>
    </row>
    <row r="10" spans="1:9" s="1445" customFormat="1" ht="39.75" customHeight="1" thickBot="1">
      <c r="A10" s="1444"/>
      <c r="B10" s="1451">
        <v>3</v>
      </c>
      <c r="C10" s="1512"/>
      <c r="D10" s="1481" t="str">
        <f>Schedule_G!D203&amp;" Schedule G Line "&amp;Schedule_G!B203</f>
        <v>Allocated Management Fees  Schedule G Line 157</v>
      </c>
      <c r="E10" s="1468"/>
      <c r="F10" s="1483">
        <v>5417</v>
      </c>
      <c r="G10" s="1469"/>
      <c r="H10" s="1470"/>
      <c r="I10" s="1444"/>
    </row>
    <row r="11" spans="1:9" s="1443" customFormat="1" ht="37.5" customHeight="1" thickBot="1">
      <c r="A11" s="1442"/>
      <c r="B11" s="1463"/>
      <c r="C11" s="1491" t="s">
        <v>677</v>
      </c>
      <c r="D11" s="1476" t="s">
        <v>680</v>
      </c>
      <c r="E11" s="1473" t="s">
        <v>681</v>
      </c>
      <c r="F11" s="1474" t="s">
        <v>674</v>
      </c>
      <c r="G11" s="1474" t="s">
        <v>395</v>
      </c>
      <c r="H11" s="1477" t="s">
        <v>675</v>
      </c>
      <c r="I11" s="1442"/>
    </row>
    <row r="12" spans="1:9" s="1443" customFormat="1" ht="34.5" customHeight="1">
      <c r="A12" s="1442"/>
      <c r="B12" s="1464">
        <v>4</v>
      </c>
      <c r="C12" s="1460"/>
      <c r="D12" s="1466"/>
      <c r="E12" s="1461"/>
      <c r="F12" s="1462"/>
      <c r="G12" s="1433"/>
      <c r="H12" s="1434"/>
      <c r="I12" s="1442"/>
    </row>
    <row r="13" spans="1:9" s="1443" customFormat="1" ht="34.5" customHeight="1">
      <c r="A13" s="1442"/>
      <c r="B13" s="1464">
        <v>5</v>
      </c>
      <c r="C13" s="1460"/>
      <c r="D13" s="1466"/>
      <c r="E13" s="1461"/>
      <c r="F13" s="1462"/>
      <c r="G13" s="1433"/>
      <c r="H13" s="1434"/>
      <c r="I13" s="1442"/>
    </row>
    <row r="14" spans="1:9" s="1443" customFormat="1" ht="34.5" customHeight="1">
      <c r="A14" s="1442"/>
      <c r="B14" s="1464">
        <v>6</v>
      </c>
      <c r="C14" s="1460"/>
      <c r="D14" s="1466"/>
      <c r="E14" s="1461"/>
      <c r="F14" s="1462"/>
      <c r="G14" s="1433"/>
      <c r="H14" s="1434"/>
      <c r="I14" s="1442"/>
    </row>
    <row r="15" spans="1:9" s="1443" customFormat="1" ht="34.5" customHeight="1">
      <c r="A15" s="1442"/>
      <c r="B15" s="1464">
        <v>7</v>
      </c>
      <c r="C15" s="1460"/>
      <c r="D15" s="1466"/>
      <c r="E15" s="1461"/>
      <c r="F15" s="1462"/>
      <c r="G15" s="1433"/>
      <c r="H15" s="1434"/>
      <c r="I15" s="1442"/>
    </row>
    <row r="16" spans="1:9" s="1443" customFormat="1" ht="34.5" customHeight="1">
      <c r="A16" s="1442"/>
      <c r="B16" s="1464">
        <v>8</v>
      </c>
      <c r="C16" s="1460"/>
      <c r="D16" s="1466"/>
      <c r="E16" s="1461"/>
      <c r="F16" s="1462"/>
      <c r="G16" s="1433"/>
      <c r="H16" s="1434"/>
      <c r="I16" s="1442"/>
    </row>
    <row r="17" spans="1:9" s="1443" customFormat="1" ht="34.5" customHeight="1">
      <c r="A17" s="1442"/>
      <c r="B17" s="1464">
        <v>9</v>
      </c>
      <c r="C17" s="1460"/>
      <c r="D17" s="1466"/>
      <c r="E17" s="1461"/>
      <c r="F17" s="1462"/>
      <c r="G17" s="1433"/>
      <c r="H17" s="1434"/>
      <c r="I17" s="1442"/>
    </row>
    <row r="18" spans="1:9" s="1443" customFormat="1" ht="34.5" customHeight="1">
      <c r="A18" s="1442"/>
      <c r="B18" s="1464">
        <v>10</v>
      </c>
      <c r="C18" s="1460"/>
      <c r="D18" s="1466"/>
      <c r="E18" s="1461"/>
      <c r="F18" s="1462"/>
      <c r="G18" s="1433"/>
      <c r="H18" s="1434"/>
      <c r="I18" s="1442"/>
    </row>
    <row r="19" spans="1:9" s="1443" customFormat="1" ht="34.5" customHeight="1">
      <c r="A19" s="1442"/>
      <c r="B19" s="1464">
        <v>11</v>
      </c>
      <c r="C19" s="1460"/>
      <c r="D19" s="1466"/>
      <c r="E19" s="1461"/>
      <c r="F19" s="1462"/>
      <c r="G19" s="1433"/>
      <c r="H19" s="1434"/>
      <c r="I19" s="1442"/>
    </row>
    <row r="20" spans="1:9" s="1443" customFormat="1" ht="34.5" customHeight="1">
      <c r="A20" s="1442"/>
      <c r="B20" s="1464">
        <v>12</v>
      </c>
      <c r="C20" s="1460"/>
      <c r="D20" s="1466"/>
      <c r="E20" s="1461"/>
      <c r="F20" s="1462"/>
      <c r="G20" s="1433"/>
      <c r="H20" s="1434"/>
      <c r="I20" s="1442"/>
    </row>
    <row r="21" spans="1:9" s="1443" customFormat="1" ht="34.5" customHeight="1">
      <c r="A21" s="1442"/>
      <c r="B21" s="1464">
        <v>13</v>
      </c>
      <c r="C21" s="1460"/>
      <c r="D21" s="1466"/>
      <c r="E21" s="1461"/>
      <c r="F21" s="1462"/>
      <c r="G21" s="1433"/>
      <c r="H21" s="1434"/>
      <c r="I21" s="1442"/>
    </row>
    <row r="22" spans="1:9" s="1443" customFormat="1" ht="34.5" customHeight="1">
      <c r="A22" s="1442"/>
      <c r="B22" s="1464">
        <v>14</v>
      </c>
      <c r="C22" s="1460"/>
      <c r="D22" s="1466"/>
      <c r="E22" s="1461"/>
      <c r="F22" s="1462"/>
      <c r="G22" s="1433"/>
      <c r="H22" s="1434"/>
      <c r="I22" s="1442"/>
    </row>
    <row r="23" spans="1:9" s="1443" customFormat="1" ht="34.5" customHeight="1">
      <c r="A23" s="1442"/>
      <c r="B23" s="1464">
        <v>15</v>
      </c>
      <c r="C23" s="1460"/>
      <c r="D23" s="1466"/>
      <c r="E23" s="1461"/>
      <c r="F23" s="1462"/>
      <c r="G23" s="1433"/>
      <c r="H23" s="1434"/>
      <c r="I23" s="1442"/>
    </row>
    <row r="24" spans="1:9" s="1443" customFormat="1" ht="34.5" customHeight="1">
      <c r="A24" s="1442"/>
      <c r="B24" s="1464">
        <v>16</v>
      </c>
      <c r="C24" s="1460"/>
      <c r="D24" s="1466"/>
      <c r="E24" s="1461"/>
      <c r="F24" s="1462"/>
      <c r="G24" s="1433"/>
      <c r="H24" s="1434"/>
      <c r="I24" s="1442"/>
    </row>
    <row r="25" spans="1:9" s="1443" customFormat="1" ht="34.5" customHeight="1">
      <c r="A25" s="1442"/>
      <c r="B25" s="1464">
        <v>17</v>
      </c>
      <c r="C25" s="1460"/>
      <c r="D25" s="1466"/>
      <c r="E25" s="1461"/>
      <c r="F25" s="1462"/>
      <c r="G25" s="1433"/>
      <c r="H25" s="1434"/>
      <c r="I25" s="1442"/>
    </row>
    <row r="26" spans="1:9" s="1443" customFormat="1" ht="34.5" customHeight="1">
      <c r="A26" s="1442"/>
      <c r="B26" s="1464">
        <v>18</v>
      </c>
      <c r="C26" s="1460"/>
      <c r="D26" s="1466"/>
      <c r="E26" s="1461"/>
      <c r="F26" s="1462"/>
      <c r="G26" s="1433"/>
      <c r="H26" s="1434"/>
      <c r="I26" s="1442"/>
    </row>
    <row r="27" spans="1:9" s="1443" customFormat="1" ht="34.5" customHeight="1" thickBot="1">
      <c r="A27" s="1442"/>
      <c r="B27" s="1464">
        <v>19</v>
      </c>
      <c r="C27" s="1460"/>
      <c r="D27" s="1466"/>
      <c r="E27" s="1461"/>
      <c r="F27" s="1487"/>
      <c r="G27" s="1435"/>
      <c r="H27" s="1436"/>
      <c r="I27" s="1442"/>
    </row>
    <row r="28" spans="1:9" s="1443" customFormat="1" ht="34.5" customHeight="1" thickBot="1">
      <c r="A28" s="1442"/>
      <c r="B28" s="1465">
        <v>20</v>
      </c>
      <c r="C28" s="1467"/>
      <c r="D28" s="1467"/>
      <c r="E28" s="1486"/>
      <c r="F28" s="1492" t="s">
        <v>396</v>
      </c>
      <c r="G28" s="1493">
        <f>ROUND(SUM(G8:G27),0)</f>
        <v>0</v>
      </c>
      <c r="H28" s="1493">
        <f>ROUND(SUM(H8:H27),0)</f>
        <v>0</v>
      </c>
      <c r="I28" s="1442"/>
    </row>
    <row r="29" spans="1:9" s="1443" customFormat="1" ht="48.75" customHeight="1">
      <c r="A29" s="1442"/>
      <c r="B29" s="1499"/>
      <c r="C29" s="1500"/>
      <c r="D29" s="1438"/>
      <c r="E29" s="505"/>
      <c r="F29" s="1496"/>
      <c r="G29" s="1494"/>
      <c r="H29" s="1439"/>
      <c r="I29" s="1442"/>
    </row>
    <row r="30" spans="1:9" s="1443" customFormat="1" ht="15.75" customHeight="1">
      <c r="A30" s="1442"/>
      <c r="B30" s="1446"/>
      <c r="C30" s="1498"/>
      <c r="D30" s="1505"/>
      <c r="E30" s="505"/>
      <c r="F30" s="1497"/>
      <c r="G30" s="1441"/>
      <c r="H30" s="1439"/>
      <c r="I30" s="1442"/>
    </row>
    <row r="31" spans="1:9" ht="15" customHeight="1">
      <c r="A31" s="945"/>
      <c r="F31" s="1495"/>
      <c r="G31" s="951"/>
      <c r="H31" s="950"/>
      <c r="I31" s="945"/>
    </row>
    <row r="32" spans="5:6" ht="15.75">
      <c r="E32" s="505"/>
      <c r="F32" s="505"/>
    </row>
  </sheetData>
  <sheetProtection/>
  <printOptions/>
  <pageMargins left="0.39" right="0.22" top="0.41" bottom="0.29" header="0.17" footer="0.21"/>
  <pageSetup fitToHeight="1" fitToWidth="1" horizontalDpi="600" verticalDpi="600" orientation="landscape" scale="38" r:id="rId2"/>
  <headerFooter alignWithMargins="0">
    <oddFooter>&amp;LDSHS 23-003&amp;C22&amp;RSchedule G-2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2004 Cost Report</dc:title>
  <dc:subject/>
  <dc:creator>Bobbie Howard</dc:creator>
  <cp:keywords/>
  <dc:description/>
  <cp:lastModifiedBy>Howard, Bobbie (DSHS/ALTSA/MSD-Rates)</cp:lastModifiedBy>
  <cp:lastPrinted>2019-09-19T17:44:48Z</cp:lastPrinted>
  <dcterms:created xsi:type="dcterms:W3CDTF">2005-02-11T22:14:07Z</dcterms:created>
  <dcterms:modified xsi:type="dcterms:W3CDTF">2020-03-26T15:49:20Z</dcterms:modified>
  <cp:category/>
  <cp:version/>
  <cp:contentType/>
  <cp:contentStatus/>
</cp:coreProperties>
</file>